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sa2\Documents\Materiales didácticos\Riberas\"/>
    </mc:Choice>
  </mc:AlternateContent>
  <bookViews>
    <workbookView xWindow="120" yWindow="120" windowWidth="11340" windowHeight="8820"/>
  </bookViews>
  <sheets>
    <sheet name="Climograma" sheetId="4" r:id="rId1"/>
    <sheet name="ficha hídrica" sheetId="8" r:id="rId2"/>
    <sheet name="Cálculo" sheetId="2" state="hidden" r:id="rId3"/>
    <sheet name="Datos La Almunia" sheetId="5" state="hidden" r:id="rId4"/>
    <sheet name="Hoja1" sheetId="7" state="hidden" r:id="rId5"/>
    <sheet name="Datos Zaragoza" sheetId="6" state="hidden" r:id="rId6"/>
    <sheet name="horas sol" sheetId="9" state="hidden" r:id="rId7"/>
  </sheets>
  <externalReferences>
    <externalReference r:id="rId8"/>
  </externalReferences>
  <definedNames>
    <definedName name="a">'ficha hídrica'!$R$5</definedName>
    <definedName name="ETP">'ficha hídrica'!$C$9:$N$9</definedName>
    <definedName name="ETR">'ficha hídrica'!$C$12:$N$12</definedName>
    <definedName name="I">'ficha hídrica'!$P$5</definedName>
    <definedName name="lat_grados">[1]DATOS!$B$6</definedName>
    <definedName name="latitud_min">[1]DATOS!$D$6</definedName>
    <definedName name="nombre">[1]DATOS!$B$4</definedName>
    <definedName name="P">'ficha hídrica'!$C$11:$N$11</definedName>
    <definedName name="Res">'ficha hídrica'!$P$2</definedName>
  </definedNames>
  <calcPr calcId="152511"/>
</workbook>
</file>

<file path=xl/calcChain.xml><?xml version="1.0" encoding="utf-8"?>
<calcChain xmlns="http://schemas.openxmlformats.org/spreadsheetml/2006/main">
  <c r="C1" i="8" l="1"/>
  <c r="B18" i="9"/>
  <c r="F18" i="9" s="1"/>
  <c r="A18" i="9"/>
  <c r="D11" i="8"/>
  <c r="E11" i="8"/>
  <c r="P11" i="8" s="1"/>
  <c r="F11" i="8"/>
  <c r="G11" i="8"/>
  <c r="H11" i="8"/>
  <c r="I11" i="8"/>
  <c r="J11" i="8"/>
  <c r="K11" i="8"/>
  <c r="L11" i="8"/>
  <c r="M11" i="8"/>
  <c r="N11" i="8"/>
  <c r="C11" i="8"/>
  <c r="D4" i="8"/>
  <c r="E4" i="8"/>
  <c r="E5" i="8" s="1"/>
  <c r="F4" i="8"/>
  <c r="G4" i="8"/>
  <c r="H4" i="8"/>
  <c r="I4" i="8"/>
  <c r="I5" i="8" s="1"/>
  <c r="J4" i="8"/>
  <c r="K4" i="8"/>
  <c r="L4" i="8"/>
  <c r="M4" i="8"/>
  <c r="M5" i="8" s="1"/>
  <c r="N4" i="8"/>
  <c r="C4" i="8"/>
  <c r="Z11" i="9"/>
  <c r="Y11" i="9"/>
  <c r="X11" i="9"/>
  <c r="W11" i="9"/>
  <c r="V11" i="9"/>
  <c r="U11" i="9"/>
  <c r="T11" i="9"/>
  <c r="S11" i="9"/>
  <c r="R11" i="9"/>
  <c r="Q11" i="9"/>
  <c r="P11" i="9"/>
  <c r="O11" i="9"/>
  <c r="Z15" i="9"/>
  <c r="Y15" i="9"/>
  <c r="X15" i="9"/>
  <c r="W15" i="9"/>
  <c r="V15" i="9"/>
  <c r="U15" i="9"/>
  <c r="T15" i="9"/>
  <c r="S15" i="9"/>
  <c r="R15" i="9"/>
  <c r="Q15" i="9"/>
  <c r="P15" i="9"/>
  <c r="O15" i="9"/>
  <c r="Z14" i="9"/>
  <c r="Y14" i="9"/>
  <c r="X14" i="9"/>
  <c r="W14" i="9"/>
  <c r="V14" i="9"/>
  <c r="U14" i="9"/>
  <c r="T14" i="9"/>
  <c r="S14" i="9"/>
  <c r="R14" i="9"/>
  <c r="Q14" i="9"/>
  <c r="P14" i="9"/>
  <c r="O14" i="9"/>
  <c r="Z13" i="9"/>
  <c r="Y13" i="9"/>
  <c r="X13" i="9"/>
  <c r="W13" i="9"/>
  <c r="V13" i="9"/>
  <c r="U13" i="9"/>
  <c r="T13" i="9"/>
  <c r="S13" i="9"/>
  <c r="R13" i="9"/>
  <c r="Q13" i="9"/>
  <c r="P13" i="9"/>
  <c r="O13" i="9"/>
  <c r="Z12" i="9"/>
  <c r="Y12" i="9"/>
  <c r="X12" i="9"/>
  <c r="W12" i="9"/>
  <c r="V12" i="9"/>
  <c r="U12" i="9"/>
  <c r="T12" i="9"/>
  <c r="S12" i="9"/>
  <c r="R12" i="9"/>
  <c r="Q12" i="9"/>
  <c r="P12" i="9"/>
  <c r="O12" i="9"/>
  <c r="Z10" i="9"/>
  <c r="Y10" i="9"/>
  <c r="X10" i="9"/>
  <c r="W10" i="9"/>
  <c r="V10" i="9"/>
  <c r="U10" i="9"/>
  <c r="T10" i="9"/>
  <c r="S10" i="9"/>
  <c r="R10" i="9"/>
  <c r="Q10" i="9"/>
  <c r="P10" i="9"/>
  <c r="O10" i="9"/>
  <c r="Z9" i="9"/>
  <c r="Y9" i="9"/>
  <c r="X9" i="9"/>
  <c r="W9" i="9"/>
  <c r="V9" i="9"/>
  <c r="U9" i="9"/>
  <c r="T9" i="9"/>
  <c r="S9" i="9"/>
  <c r="R9" i="9"/>
  <c r="Q9" i="9"/>
  <c r="P9" i="9"/>
  <c r="O9" i="9"/>
  <c r="Z8" i="9"/>
  <c r="Y8" i="9"/>
  <c r="X8" i="9"/>
  <c r="W8" i="9"/>
  <c r="V8" i="9"/>
  <c r="U8" i="9"/>
  <c r="T8" i="9"/>
  <c r="S8" i="9"/>
  <c r="R8" i="9"/>
  <c r="Q8" i="9"/>
  <c r="P8" i="9"/>
  <c r="O8" i="9"/>
  <c r="Z7" i="9"/>
  <c r="Y7" i="9"/>
  <c r="X7" i="9"/>
  <c r="W7" i="9"/>
  <c r="V7" i="9"/>
  <c r="U7" i="9"/>
  <c r="T7" i="9"/>
  <c r="S7" i="9"/>
  <c r="R7" i="9"/>
  <c r="Q7" i="9"/>
  <c r="P7" i="9"/>
  <c r="O7" i="9"/>
  <c r="Z6" i="9"/>
  <c r="Y6" i="9"/>
  <c r="X6" i="9"/>
  <c r="W6" i="9"/>
  <c r="V6" i="9"/>
  <c r="U6" i="9"/>
  <c r="T6" i="9"/>
  <c r="S6" i="9"/>
  <c r="R6" i="9"/>
  <c r="Q6" i="9"/>
  <c r="P6" i="9"/>
  <c r="O6" i="9"/>
  <c r="Z5" i="9"/>
  <c r="Y5" i="9"/>
  <c r="X5" i="9"/>
  <c r="W5" i="9"/>
  <c r="V5" i="9"/>
  <c r="U5" i="9"/>
  <c r="T5" i="9"/>
  <c r="S5" i="9"/>
  <c r="R5" i="9"/>
  <c r="Q5" i="9"/>
  <c r="P5" i="9"/>
  <c r="O5" i="9"/>
  <c r="Z4" i="9"/>
  <c r="Y4" i="9"/>
  <c r="X4" i="9"/>
  <c r="W4" i="9"/>
  <c r="V4" i="9"/>
  <c r="U4" i="9"/>
  <c r="T4" i="9"/>
  <c r="S4" i="9"/>
  <c r="R4" i="9"/>
  <c r="Q4" i="9"/>
  <c r="P4" i="9"/>
  <c r="O4" i="9"/>
  <c r="Z3" i="9"/>
  <c r="Y3" i="9"/>
  <c r="X3" i="9"/>
  <c r="W3" i="9"/>
  <c r="V3" i="9"/>
  <c r="U3" i="9"/>
  <c r="T3" i="9"/>
  <c r="S3" i="9"/>
  <c r="R3" i="9"/>
  <c r="Q3" i="9"/>
  <c r="P3" i="9"/>
  <c r="O3" i="9"/>
  <c r="C5" i="8"/>
  <c r="O5" i="8" s="1"/>
  <c r="D5" i="8"/>
  <c r="F5" i="8"/>
  <c r="G5" i="8"/>
  <c r="H5" i="8"/>
  <c r="J5" i="8"/>
  <c r="K5" i="8"/>
  <c r="L5" i="8"/>
  <c r="N5" i="8"/>
  <c r="O11" i="8"/>
  <c r="O7" i="8"/>
  <c r="O4" i="8"/>
  <c r="G6" i="2"/>
  <c r="H18" i="2" s="1"/>
  <c r="G7" i="2"/>
  <c r="G8" i="2"/>
  <c r="C6" i="2"/>
  <c r="G4" i="2"/>
  <c r="G11" i="2" s="1"/>
  <c r="G14" i="2" s="1"/>
  <c r="G5" i="2"/>
  <c r="G9" i="2"/>
  <c r="F34" i="2" s="1"/>
  <c r="C7" i="2"/>
  <c r="C8" i="2"/>
  <c r="C9" i="2"/>
  <c r="F35" i="2" s="1"/>
  <c r="C4" i="2"/>
  <c r="C11" i="2" s="1"/>
  <c r="C14" i="2" s="1"/>
  <c r="C5" i="2"/>
  <c r="B15" i="2"/>
  <c r="H15" i="2" s="1"/>
  <c r="D15" i="2"/>
  <c r="C26" i="2" s="1"/>
  <c r="F21" i="2"/>
  <c r="F23" i="2" s="1"/>
  <c r="M43" i="4"/>
  <c r="B16" i="2"/>
  <c r="M48" i="4" s="1"/>
  <c r="E54" i="4" s="1"/>
  <c r="B51" i="2" s="1"/>
  <c r="C51" i="2" s="1"/>
  <c r="G54" i="4" s="1"/>
  <c r="F4" i="2"/>
  <c r="F5" i="2"/>
  <c r="C41" i="2" s="1"/>
  <c r="F6" i="2"/>
  <c r="F10" i="2" s="1"/>
  <c r="F13" i="2" s="1"/>
  <c r="F7" i="2"/>
  <c r="F8" i="2"/>
  <c r="F9" i="2"/>
  <c r="F11" i="2"/>
  <c r="F14" i="2" s="1"/>
  <c r="C34" i="2" s="1"/>
  <c r="N45" i="4" s="1"/>
  <c r="B5" i="2"/>
  <c r="B4" i="2"/>
  <c r="B10" i="2" s="1"/>
  <c r="B13" i="2" s="1"/>
  <c r="C35" i="2" s="1"/>
  <c r="N46" i="4" s="1"/>
  <c r="B6" i="2"/>
  <c r="C39" i="2" s="1"/>
  <c r="B7" i="2"/>
  <c r="B8" i="2"/>
  <c r="C47" i="2" s="1"/>
  <c r="B9" i="2"/>
  <c r="B11" i="2"/>
  <c r="B14" i="2" s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3" i="7"/>
  <c r="C48" i="2"/>
  <c r="C46" i="2"/>
  <c r="C43" i="2"/>
  <c r="C44" i="2"/>
  <c r="C45" i="2"/>
  <c r="C38" i="2"/>
  <c r="F15" i="2"/>
  <c r="C23" i="2"/>
  <c r="D16" i="2"/>
  <c r="C10" i="2" l="1"/>
  <c r="C13" i="2" s="1"/>
  <c r="C40" i="2"/>
  <c r="C28" i="2"/>
  <c r="C25" i="2"/>
  <c r="C24" i="2" s="1"/>
  <c r="C37" i="2"/>
  <c r="F33" i="2"/>
  <c r="P5" i="8"/>
  <c r="R5" i="8" s="1"/>
  <c r="J6" i="8" s="1"/>
  <c r="C27" i="2"/>
  <c r="G10" i="2"/>
  <c r="G13" i="2" s="1"/>
  <c r="A19" i="9"/>
  <c r="K22" i="9" s="1"/>
  <c r="F25" i="2"/>
  <c r="F30" i="2" s="1"/>
  <c r="C18" i="2"/>
  <c r="G27" i="2"/>
  <c r="N34" i="4" s="1"/>
  <c r="G19" i="2"/>
  <c r="N49" i="4" s="1"/>
  <c r="E55" i="4"/>
  <c r="B52" i="2" s="1"/>
  <c r="C52" i="2" s="1"/>
  <c r="G55" i="4" s="1"/>
  <c r="M44" i="4"/>
  <c r="C42" i="2"/>
  <c r="C49" i="2" s="1"/>
  <c r="N50" i="4" s="1"/>
  <c r="F32" i="2"/>
  <c r="F36" i="2" s="1"/>
  <c r="E21" i="9" l="1"/>
  <c r="H22" i="9"/>
  <c r="F38" i="2"/>
  <c r="I21" i="9"/>
  <c r="L22" i="9"/>
  <c r="A21" i="9"/>
  <c r="D22" i="9"/>
  <c r="F28" i="2"/>
  <c r="G39" i="2" s="1"/>
  <c r="N35" i="4" s="1"/>
  <c r="B21" i="9"/>
  <c r="F21" i="9"/>
  <c r="J21" i="9"/>
  <c r="M21" i="9"/>
  <c r="E22" i="9"/>
  <c r="I22" i="9"/>
  <c r="M22" i="9"/>
  <c r="C21" i="9"/>
  <c r="G21" i="9"/>
  <c r="K21" i="9"/>
  <c r="K24" i="9" s="1"/>
  <c r="L8" i="8" s="1"/>
  <c r="B22" i="9"/>
  <c r="F22" i="9"/>
  <c r="J22" i="9"/>
  <c r="D21" i="9"/>
  <c r="H21" i="9"/>
  <c r="L21" i="9"/>
  <c r="C22" i="9"/>
  <c r="G22" i="9"/>
  <c r="H6" i="8"/>
  <c r="G6" i="8"/>
  <c r="N6" i="8"/>
  <c r="F6" i="8"/>
  <c r="I6" i="8"/>
  <c r="M6" i="8"/>
  <c r="E6" i="8"/>
  <c r="L6" i="8"/>
  <c r="D6" i="8"/>
  <c r="K6" i="8"/>
  <c r="C6" i="8"/>
  <c r="C21" i="2"/>
  <c r="C31" i="2"/>
  <c r="C20" i="2"/>
  <c r="C19" i="2"/>
  <c r="B22" i="2"/>
  <c r="H24" i="9" l="1"/>
  <c r="I8" i="8" s="1"/>
  <c r="I24" i="9"/>
  <c r="J8" i="8" s="1"/>
  <c r="J9" i="8" s="1"/>
  <c r="L24" i="9"/>
  <c r="M8" i="8" s="1"/>
  <c r="M9" i="8" s="1"/>
  <c r="D24" i="9"/>
  <c r="E8" i="8" s="1"/>
  <c r="E24" i="9"/>
  <c r="F8" i="8" s="1"/>
  <c r="C24" i="9"/>
  <c r="D8" i="8" s="1"/>
  <c r="D9" i="8" s="1"/>
  <c r="G24" i="9"/>
  <c r="H8" i="8" s="1"/>
  <c r="H9" i="8" s="1"/>
  <c r="B24" i="9"/>
  <c r="M24" i="9"/>
  <c r="N8" i="8" s="1"/>
  <c r="J24" i="9"/>
  <c r="K8" i="8" s="1"/>
  <c r="K9" i="8" s="1"/>
  <c r="F24" i="9"/>
  <c r="G8" i="8" s="1"/>
  <c r="G9" i="8" s="1"/>
  <c r="L9" i="8"/>
  <c r="F9" i="8"/>
  <c r="N9" i="8"/>
  <c r="E9" i="8"/>
  <c r="I9" i="8"/>
  <c r="C22" i="2"/>
  <c r="O6" i="8"/>
  <c r="C8" i="8" l="1"/>
  <c r="C9" i="8" s="1"/>
  <c r="O9" i="8" s="1"/>
  <c r="P9" i="8"/>
  <c r="C29" i="2"/>
  <c r="C32" i="2" s="1"/>
  <c r="C30" i="2"/>
  <c r="C12" i="8" l="1"/>
  <c r="C15" i="8" s="1"/>
  <c r="O8" i="8"/>
  <c r="C13" i="8"/>
  <c r="O13" i="8" s="1"/>
  <c r="C33" i="2"/>
  <c r="G34" i="4" s="1"/>
  <c r="C14" i="8"/>
  <c r="O12" i="8" l="1"/>
  <c r="O15" i="8"/>
  <c r="O14" i="8"/>
  <c r="D12" i="8"/>
  <c r="D13" i="8" l="1"/>
  <c r="D14" i="8"/>
  <c r="D15" i="8"/>
  <c r="E12" i="8" l="1"/>
  <c r="E14" i="8" s="1"/>
  <c r="E15" i="8" l="1"/>
  <c r="E13" i="8"/>
  <c r="F12" i="8"/>
  <c r="F13" i="8" s="1"/>
  <c r="F14" i="8" l="1"/>
  <c r="F15" i="8"/>
  <c r="G12" i="8" l="1"/>
  <c r="G15" i="8" s="1"/>
  <c r="G13" i="8" l="1"/>
  <c r="G14" i="8"/>
  <c r="H12" i="8" l="1"/>
  <c r="H13" i="8" l="1"/>
  <c r="H15" i="8"/>
  <c r="H14" i="8"/>
  <c r="I12" i="8" l="1"/>
  <c r="I13" i="8" s="1"/>
  <c r="I14" i="8" l="1"/>
  <c r="I15" i="8"/>
  <c r="J12" i="8" l="1"/>
  <c r="J13" i="8" s="1"/>
  <c r="J15" i="8" l="1"/>
  <c r="J14" i="8"/>
  <c r="K12" i="8" l="1"/>
  <c r="K13" i="8" s="1"/>
  <c r="K14" i="8" l="1"/>
  <c r="K15" i="8"/>
  <c r="L12" i="8" l="1"/>
  <c r="L13" i="8" s="1"/>
  <c r="L15" i="8" l="1"/>
  <c r="L14" i="8"/>
  <c r="M12" i="8" l="1"/>
  <c r="M13" i="8" s="1"/>
  <c r="M14" i="8" l="1"/>
  <c r="M15" i="8"/>
  <c r="N12" i="8" l="1"/>
  <c r="N13" i="8" l="1"/>
  <c r="P13" i="8" s="1"/>
  <c r="P12" i="8"/>
  <c r="N15" i="8"/>
  <c r="P15" i="8" s="1"/>
  <c r="N14" i="8"/>
</calcChain>
</file>

<file path=xl/comments1.xml><?xml version="1.0" encoding="utf-8"?>
<comments xmlns="http://schemas.openxmlformats.org/spreadsheetml/2006/main">
  <authors>
    <author>Javier</author>
  </authors>
  <commentList>
    <comment ref="A6" authorId="0" shapeId="0">
      <text>
        <r>
          <rPr>
            <b/>
            <sz val="8"/>
            <color indexed="81"/>
            <rFont val="Tahoma"/>
            <family val="2"/>
          </rPr>
          <t>La fórmula de Thornthwaite clacula inicialmente la ETP si el mes tuviera 30 días y cada día tuviera 12 horas de sol y 12 horas sin sol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0" shapeId="0">
      <text>
        <r>
          <rPr>
            <b/>
            <sz val="8"/>
            <color indexed="81"/>
            <rFont val="Tahoma"/>
            <family val="2"/>
          </rPr>
          <t>= número máximo de horas de sol. 
Depende de la latitud y de la fecha. Tabulado al final del tema T040 Evapotranspiración</t>
        </r>
      </text>
    </comment>
    <comment ref="A9" authorId="0" shapeId="0">
      <text>
        <r>
          <rPr>
            <b/>
            <sz val="8"/>
            <color indexed="81"/>
            <rFont val="Tahoma"/>
            <family val="2"/>
          </rPr>
          <t>Aquí aparece la ETP calculada por Thonthwaite, pero si dispusiéramos de datos de ETP procedentes de lisímetros o de de cualquier otra fórmula más sofisticada que la de Thornthwaite, los escribimos manualmente , para que Excel los utilice en el cálculo del Balance mes a mes</t>
        </r>
      </text>
    </comment>
  </commentList>
</comments>
</file>

<file path=xl/sharedStrings.xml><?xml version="1.0" encoding="utf-8"?>
<sst xmlns="http://schemas.openxmlformats.org/spreadsheetml/2006/main" count="288" uniqueCount="151">
  <si>
    <t>Temperatura</t>
  </si>
  <si>
    <t>Precipitación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</si>
  <si>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</si>
  <si>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</si>
  <si>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</si>
  <si>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</si>
  <si>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</si>
  <si>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</si>
  <si>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</si>
  <si>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</si>
  <si>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</si>
  <si>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</si>
  <si>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</si>
  <si>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</si>
  <si>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Invierno</t>
  </si>
  <si>
    <t>Verano</t>
  </si>
  <si>
    <t>Mínima</t>
  </si>
  <si>
    <t>Máxima</t>
  </si>
  <si>
    <t>Régimen pluviométrico</t>
  </si>
  <si>
    <t>Clima B</t>
  </si>
  <si>
    <t>Régimen térmico</t>
  </si>
  <si>
    <t xml:space="preserve">Clasificación </t>
  </si>
  <si>
    <t>Régimen pluviométrico A</t>
  </si>
  <si>
    <t>Régimen térmico CD</t>
  </si>
  <si>
    <t>Régimen térmico B</t>
  </si>
  <si>
    <t>Hemisferio norte</t>
  </si>
  <si>
    <t>Min Invierno</t>
  </si>
  <si>
    <t>Max Invierno</t>
  </si>
  <si>
    <t>Min Verano</t>
  </si>
  <si>
    <t>Max Verano</t>
  </si>
  <si>
    <t>Tipo de clima (según Köppen)</t>
  </si>
  <si>
    <t>ºC</t>
  </si>
  <si>
    <t>mm</t>
  </si>
  <si>
    <t>Análisis del climograma</t>
  </si>
  <si>
    <t>Temperatura media anual</t>
  </si>
  <si>
    <t>Amplitud térmica</t>
  </si>
  <si>
    <t>T verano</t>
  </si>
  <si>
    <t>Tipo de verano</t>
  </si>
  <si>
    <t>Tipo de invierno</t>
  </si>
  <si>
    <t>T invierno</t>
  </si>
  <si>
    <t>Temperaturas</t>
  </si>
  <si>
    <t>Precipitaciones</t>
  </si>
  <si>
    <t>Precipitación anual total</t>
  </si>
  <si>
    <t>Meses secos</t>
  </si>
  <si>
    <t xml:space="preserve"> </t>
  </si>
  <si>
    <t>Según Font</t>
  </si>
  <si>
    <t>Font</t>
  </si>
  <si>
    <t>Índices climáticos</t>
  </si>
  <si>
    <t>Martonne</t>
  </si>
  <si>
    <t>P estival</t>
  </si>
  <si>
    <t>Precipitación estival</t>
  </si>
  <si>
    <t>K (Font)</t>
  </si>
  <si>
    <t>Clarificación de Font</t>
  </si>
  <si>
    <t>T media</t>
  </si>
  <si>
    <t>T Máx</t>
  </si>
  <si>
    <t>T Min</t>
  </si>
  <si>
    <t>Máx 24h</t>
  </si>
  <si>
    <t>Nº días</t>
  </si>
  <si>
    <t>Media máximas</t>
  </si>
  <si>
    <t>Media mínimas</t>
  </si>
  <si>
    <t>Helada</t>
  </si>
  <si>
    <t>Nubosidad</t>
  </si>
  <si>
    <t>Despejado</t>
  </si>
  <si>
    <t>Cubierto</t>
  </si>
  <si>
    <t>Variable</t>
  </si>
  <si>
    <t>Meteoros</t>
  </si>
  <si>
    <t>Nieve (escasa)</t>
  </si>
  <si>
    <t>Nieve (cubierto)</t>
  </si>
  <si>
    <t>Granizo</t>
  </si>
  <si>
    <t>Tormenta</t>
  </si>
  <si>
    <t>Niebla</t>
  </si>
  <si>
    <t>Rocío</t>
  </si>
  <si>
    <t>Escarcha</t>
  </si>
  <si>
    <t>Precipitación tot</t>
  </si>
  <si>
    <t>Nº</t>
  </si>
  <si>
    <t>Estación</t>
  </si>
  <si>
    <t>Alagón</t>
  </si>
  <si>
    <t>Ariza</t>
  </si>
  <si>
    <t>Artieda</t>
  </si>
  <si>
    <t>Bardena</t>
  </si>
  <si>
    <t>Belchite</t>
  </si>
  <si>
    <t>Biel</t>
  </si>
  <si>
    <t>Borja</t>
  </si>
  <si>
    <t>Bujaraloz</t>
  </si>
  <si>
    <t>Calatayud</t>
  </si>
  <si>
    <t>Cariñena</t>
  </si>
  <si>
    <t>Caspe</t>
  </si>
  <si>
    <t>Daroca</t>
  </si>
  <si>
    <t>Escatrón</t>
  </si>
  <si>
    <t>Marracos</t>
  </si>
  <si>
    <t>Moneva emb</t>
  </si>
  <si>
    <t>Sta. Anastasia</t>
  </si>
  <si>
    <t>Terrer</t>
  </si>
  <si>
    <t>Uncastillo</t>
  </si>
  <si>
    <t>Zaragoza</t>
  </si>
  <si>
    <t>Zuera</t>
  </si>
  <si>
    <t>La Almunia</t>
  </si>
  <si>
    <t>t</t>
  </si>
  <si>
    <t>P</t>
  </si>
  <si>
    <t>Dantin-Revenga</t>
  </si>
  <si>
    <t>D-R</t>
  </si>
  <si>
    <t>T max</t>
  </si>
  <si>
    <t>Tmin</t>
  </si>
  <si>
    <t>Tmed</t>
  </si>
  <si>
    <t>Atermica</t>
  </si>
  <si>
    <t>Prec total</t>
  </si>
  <si>
    <t>Prec media</t>
  </si>
  <si>
    <t>Latitud</t>
  </si>
  <si>
    <t>º</t>
  </si>
  <si>
    <t>min</t>
  </si>
  <si>
    <t>sen lat</t>
  </si>
  <si>
    <t>N</t>
  </si>
  <si>
    <t>Localidad:</t>
  </si>
  <si>
    <t>Latitud:</t>
  </si>
  <si>
    <t>Zona parda</t>
  </si>
  <si>
    <t>Köppen</t>
  </si>
  <si>
    <t>Primavera</t>
  </si>
  <si>
    <t>Otoño</t>
  </si>
  <si>
    <t>Mediterraneo</t>
  </si>
  <si>
    <t>Subzona</t>
  </si>
  <si>
    <t xml:space="preserve">Ficha hídrica </t>
  </si>
  <si>
    <t>Reserva máx: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</si>
  <si>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</si>
  <si>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</si>
  <si>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</si>
  <si>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</si>
  <si>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</si>
  <si>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</si>
  <si>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</si>
  <si>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</si>
  <si>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</si>
  <si>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</si>
  <si>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</si>
  <si>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</si>
  <si>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Total</t>
  </si>
  <si>
    <t>temp</t>
  </si>
  <si>
    <t xml:space="preserve">i </t>
  </si>
  <si>
    <t>a=</t>
  </si>
  <si>
    <t>ETP sin corr</t>
  </si>
  <si>
    <t>nºdias mes</t>
  </si>
  <si>
    <t>nº horas luz</t>
  </si>
  <si>
    <t>ETP corr.</t>
  </si>
  <si>
    <t>ETR</t>
  </si>
  <si>
    <t>Déficit</t>
  </si>
  <si>
    <t>Reserva</t>
  </si>
  <si>
    <t>Excedentes</t>
  </si>
  <si>
    <t>Tabla de horas de sol</t>
  </si>
  <si>
    <t>Tabla de diferencias para interpolación</t>
  </si>
  <si>
    <t>Lat</t>
  </si>
  <si>
    <t>sep</t>
  </si>
  <si>
    <t>Horas_sol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</si>
</sst>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.##0.0"/>
    <numFmt numFmtId="166" formatCode="#.#####"/>
  </numFmts>
  <fonts count="2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Geneva"/>
    </font>
    <font>
      <b/>
      <sz val="12"/>
      <name val="Geneva"/>
    </font>
    <font>
      <u/>
      <sz val="10"/>
      <color indexed="12"/>
      <name val="Geneva"/>
    </font>
    <font>
      <sz val="10"/>
      <name val="Geneva"/>
    </font>
    <font>
      <u/>
      <sz val="7.5"/>
      <color indexed="12"/>
      <name val="Geneva"/>
    </font>
    <font>
      <b/>
      <sz val="10"/>
      <color indexed="12"/>
      <name val="Geneva"/>
    </font>
    <font>
      <b/>
      <sz val="10"/>
      <color indexed="39"/>
      <name val="Arial"/>
      <family val="2"/>
    </font>
    <font>
      <b/>
      <sz val="10"/>
      <color indexed="39"/>
      <name val="Geneva"/>
    </font>
    <font>
      <sz val="9"/>
      <name val="Geneva"/>
    </font>
    <font>
      <sz val="10"/>
      <color indexed="10"/>
      <name val="Geneva"/>
    </font>
    <font>
      <b/>
      <sz val="10"/>
      <color indexed="52"/>
      <name val="Geneva"/>
    </font>
    <font>
      <sz val="8"/>
      <name val="Geneva"/>
    </font>
    <font>
      <b/>
      <sz val="10"/>
      <color indexed="17"/>
      <name val="Geneva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23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0" xfId="0" applyFill="1"/>
    <xf numFmtId="0" fontId="0" fillId="2" borderId="1" xfId="0" applyFill="1" applyBorder="1"/>
    <xf numFmtId="0" fontId="0" fillId="2" borderId="0" xfId="0" applyFill="1"/>
    <xf numFmtId="0" fontId="0" fillId="2" borderId="2" xfId="0" applyFill="1" applyBorder="1"/>
    <xf numFmtId="0" fontId="0" fillId="0" borderId="1" xfId="0" applyBorder="1"/>
    <xf numFmtId="4" fontId="0" fillId="0" borderId="1" xfId="0" applyNumberFormat="1" applyBorder="1"/>
    <xf numFmtId="0" fontId="0" fillId="0" borderId="3" xfId="0" applyFill="1" applyBorder="1"/>
    <xf numFmtId="3" fontId="0" fillId="0" borderId="3" xfId="0" applyNumberFormat="1" applyFill="1" applyBorder="1"/>
    <xf numFmtId="3" fontId="0" fillId="0" borderId="0" xfId="0" applyNumberFormat="1" applyBorder="1"/>
    <xf numFmtId="3" fontId="0" fillId="0" borderId="4" xfId="0" applyNumberFormat="1" applyBorder="1"/>
    <xf numFmtId="166" fontId="0" fillId="0" borderId="3" xfId="0" applyNumberFormat="1" applyFill="1" applyBorder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top" wrapText="1"/>
    </xf>
    <xf numFmtId="3" fontId="0" fillId="0" borderId="0" xfId="0" applyNumberFormat="1"/>
    <xf numFmtId="165" fontId="0" fillId="0" borderId="0" xfId="0" applyNumberFormat="1"/>
    <xf numFmtId="0" fontId="0" fillId="0" borderId="0" xfId="0" applyNumberFormat="1"/>
    <xf numFmtId="164" fontId="0" fillId="0" borderId="0" xfId="0" applyNumberFormat="1"/>
    <xf numFmtId="0" fontId="0" fillId="3" borderId="0" xfId="0" applyFill="1"/>
    <xf numFmtId="0" fontId="0" fillId="3" borderId="5" xfId="0" applyFill="1" applyBorder="1"/>
    <xf numFmtId="0" fontId="5" fillId="3" borderId="5" xfId="0" applyFont="1" applyFill="1" applyBorder="1" applyProtection="1">
      <protection locked="0"/>
    </xf>
    <xf numFmtId="0" fontId="5" fillId="3" borderId="6" xfId="0" applyFont="1" applyFill="1" applyBorder="1" applyProtection="1">
      <protection locked="0"/>
    </xf>
    <xf numFmtId="0" fontId="7" fillId="3" borderId="7" xfId="0" applyFont="1" applyFill="1" applyBorder="1" applyAlignment="1">
      <alignment horizontal="right"/>
    </xf>
    <xf numFmtId="0" fontId="0" fillId="3" borderId="8" xfId="0" applyFill="1" applyBorder="1"/>
    <xf numFmtId="0" fontId="3" fillId="3" borderId="9" xfId="0" applyFont="1" applyFill="1" applyBorder="1" applyAlignment="1">
      <alignment horizontal="right"/>
    </xf>
    <xf numFmtId="0" fontId="6" fillId="3" borderId="0" xfId="0" applyFont="1" applyFill="1" applyBorder="1"/>
    <xf numFmtId="0" fontId="0" fillId="3" borderId="0" xfId="0" applyFill="1" applyBorder="1"/>
    <xf numFmtId="0" fontId="7" fillId="3" borderId="0" xfId="0" applyFont="1" applyFill="1" applyBorder="1" applyAlignment="1">
      <alignment horizontal="right"/>
    </xf>
    <xf numFmtId="0" fontId="0" fillId="3" borderId="4" xfId="0" applyFill="1" applyBorder="1"/>
    <xf numFmtId="0" fontId="3" fillId="3" borderId="10" xfId="0" applyFont="1" applyFill="1" applyBorder="1" applyAlignment="1">
      <alignment horizontal="right"/>
    </xf>
    <xf numFmtId="0" fontId="6" fillId="3" borderId="0" xfId="0" applyFont="1" applyFill="1"/>
    <xf numFmtId="0" fontId="7" fillId="3" borderId="0" xfId="0" applyFont="1" applyFill="1"/>
    <xf numFmtId="0" fontId="0" fillId="3" borderId="11" xfId="0" applyFill="1" applyBorder="1"/>
    <xf numFmtId="164" fontId="0" fillId="3" borderId="0" xfId="0" applyNumberFormat="1" applyFill="1" applyBorder="1"/>
    <xf numFmtId="0" fontId="0" fillId="3" borderId="11" xfId="0" applyFill="1" applyBorder="1" applyAlignment="1">
      <alignment horizontal="right"/>
    </xf>
    <xf numFmtId="0" fontId="0" fillId="3" borderId="10" xfId="0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0" fillId="3" borderId="10" xfId="0" applyFill="1" applyBorder="1"/>
    <xf numFmtId="0" fontId="5" fillId="4" borderId="12" xfId="0" applyFont="1" applyFill="1" applyBorder="1"/>
    <xf numFmtId="0" fontId="0" fillId="4" borderId="5" xfId="0" applyFill="1" applyBorder="1"/>
    <xf numFmtId="0" fontId="5" fillId="4" borderId="5" xfId="0" applyFont="1" applyFill="1" applyBorder="1"/>
    <xf numFmtId="0" fontId="6" fillId="4" borderId="12" xfId="0" applyFont="1" applyFill="1" applyBorder="1"/>
    <xf numFmtId="0" fontId="0" fillId="4" borderId="13" xfId="0" applyFill="1" applyBorder="1"/>
    <xf numFmtId="0" fontId="6" fillId="4" borderId="14" xfId="0" applyFont="1" applyFill="1" applyBorder="1"/>
    <xf numFmtId="0" fontId="0" fillId="4" borderId="8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4" fontId="0" fillId="3" borderId="1" xfId="0" applyNumberFormat="1" applyFill="1" applyBorder="1" applyAlignment="1" applyProtection="1">
      <alignment horizontal="center"/>
      <protection locked="0"/>
    </xf>
    <xf numFmtId="164" fontId="0" fillId="3" borderId="21" xfId="0" applyNumberFormat="1" applyFill="1" applyBorder="1" applyAlignment="1" applyProtection="1">
      <alignment horizontal="center"/>
      <protection locked="0"/>
    </xf>
    <xf numFmtId="0" fontId="0" fillId="4" borderId="14" xfId="0" applyFill="1" applyBorder="1"/>
    <xf numFmtId="0" fontId="0" fillId="4" borderId="9" xfId="0" applyFill="1" applyBorder="1"/>
    <xf numFmtId="0" fontId="0" fillId="4" borderId="22" xfId="0" applyFill="1" applyBorder="1"/>
    <xf numFmtId="0" fontId="0" fillId="4" borderId="0" xfId="0" applyFill="1" applyBorder="1"/>
    <xf numFmtId="0" fontId="0" fillId="4" borderId="11" xfId="0" applyFill="1" applyBorder="1"/>
    <xf numFmtId="0" fontId="0" fillId="4" borderId="23" xfId="0" applyFill="1" applyBorder="1"/>
    <xf numFmtId="0" fontId="0" fillId="4" borderId="4" xfId="0" applyFill="1" applyBorder="1"/>
    <xf numFmtId="0" fontId="6" fillId="4" borderId="23" xfId="0" applyFont="1" applyFill="1" applyBorder="1"/>
    <xf numFmtId="0" fontId="0" fillId="0" borderId="1" xfId="0" applyNumberFormat="1" applyBorder="1"/>
    <xf numFmtId="3" fontId="0" fillId="0" borderId="1" xfId="0" applyNumberFormat="1" applyFill="1" applyBorder="1"/>
    <xf numFmtId="1" fontId="0" fillId="0" borderId="1" xfId="0" applyNumberFormat="1" applyFill="1" applyBorder="1"/>
    <xf numFmtId="0" fontId="0" fillId="0" borderId="1" xfId="0" applyNumberFormat="1" applyFill="1" applyBorder="1"/>
    <xf numFmtId="1" fontId="0" fillId="0" borderId="1" xfId="0" applyNumberFormat="1" applyBorder="1"/>
    <xf numFmtId="3" fontId="0" fillId="0" borderId="1" xfId="0" applyNumberFormat="1" applyBorder="1"/>
    <xf numFmtId="0" fontId="9" fillId="2" borderId="12" xfId="0" applyFont="1" applyFill="1" applyBorder="1"/>
    <xf numFmtId="0" fontId="0" fillId="2" borderId="6" xfId="0" applyFill="1" applyBorder="1"/>
    <xf numFmtId="0" fontId="10" fillId="0" borderId="12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1" fillId="0" borderId="0" xfId="1" applyFont="1" applyFill="1" applyAlignment="1" applyProtection="1">
      <alignment horizontal="left"/>
    </xf>
    <xf numFmtId="2" fontId="0" fillId="0" borderId="0" xfId="0" applyNumberForma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3" fillId="0" borderId="0" xfId="1" applyFont="1" applyFill="1" applyAlignment="1" applyProtection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right"/>
    </xf>
    <xf numFmtId="0" fontId="14" fillId="0" borderId="24" xfId="0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2" fontId="9" fillId="0" borderId="16" xfId="0" applyNumberFormat="1" applyFont="1" applyFill="1" applyBorder="1" applyAlignment="1">
      <alignment horizontal="center"/>
    </xf>
    <xf numFmtId="0" fontId="14" fillId="2" borderId="17" xfId="0" applyFont="1" applyFill="1" applyBorder="1" applyAlignment="1">
      <alignment horizontal="right"/>
    </xf>
    <xf numFmtId="0" fontId="14" fillId="0" borderId="1" xfId="0" applyFont="1" applyFill="1" applyBorder="1"/>
    <xf numFmtId="164" fontId="15" fillId="0" borderId="1" xfId="2" applyNumberFormat="1" applyFont="1" applyFill="1" applyBorder="1" applyAlignment="1" applyProtection="1">
      <alignment horizontal="center"/>
      <protection locked="0"/>
    </xf>
    <xf numFmtId="0" fontId="14" fillId="0" borderId="1" xfId="0" applyFont="1" applyFill="1" applyBorder="1" applyAlignment="1">
      <alignment horizontal="center"/>
    </xf>
    <xf numFmtId="2" fontId="9" fillId="0" borderId="19" xfId="0" applyNumberFormat="1" applyFont="1" applyFill="1" applyBorder="1" applyAlignment="1">
      <alignment horizontal="center"/>
    </xf>
    <xf numFmtId="0" fontId="0" fillId="2" borderId="17" xfId="0" applyFill="1" applyBorder="1" applyAlignment="1">
      <alignment horizontal="right"/>
    </xf>
    <xf numFmtId="0" fontId="0" fillId="0" borderId="1" xfId="0" applyFill="1" applyBorder="1"/>
    <xf numFmtId="2" fontId="0" fillId="0" borderId="1" xfId="0" applyNumberFormat="1" applyFill="1" applyBorder="1" applyAlignment="1">
      <alignment horizontal="center"/>
    </xf>
    <xf numFmtId="164" fontId="12" fillId="0" borderId="1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right"/>
    </xf>
    <xf numFmtId="0" fontId="9" fillId="0" borderId="6" xfId="0" applyFont="1" applyFill="1" applyBorder="1"/>
    <xf numFmtId="164" fontId="0" fillId="0" borderId="1" xfId="0" applyNumberForma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6" fillId="0" borderId="0" xfId="0" applyFont="1" applyFill="1" applyBorder="1" applyAlignment="1">
      <alignment wrapText="1"/>
    </xf>
    <xf numFmtId="164" fontId="14" fillId="0" borderId="1" xfId="0" applyNumberFormat="1" applyFont="1" applyFill="1" applyBorder="1" applyAlignment="1">
      <alignment horizontal="center"/>
    </xf>
    <xf numFmtId="0" fontId="17" fillId="0" borderId="1" xfId="0" applyFont="1" applyFill="1" applyBorder="1"/>
    <xf numFmtId="164" fontId="9" fillId="0" borderId="1" xfId="0" applyNumberFormat="1" applyFont="1" applyFill="1" applyBorder="1" applyAlignment="1">
      <alignment horizontal="center"/>
    </xf>
    <xf numFmtId="164" fontId="9" fillId="0" borderId="19" xfId="0" applyNumberFormat="1" applyFont="1" applyFill="1" applyBorder="1" applyAlignment="1">
      <alignment horizontal="center"/>
    </xf>
    <xf numFmtId="0" fontId="18" fillId="0" borderId="0" xfId="0" applyFont="1" applyFill="1"/>
    <xf numFmtId="0" fontId="9" fillId="0" borderId="1" xfId="0" applyFont="1" applyFill="1" applyBorder="1" applyAlignment="1">
      <alignment horizontal="center"/>
    </xf>
    <xf numFmtId="164" fontId="15" fillId="0" borderId="21" xfId="2" applyNumberFormat="1" applyFont="1" applyFill="1" applyBorder="1" applyAlignment="1" applyProtection="1">
      <alignment horizontal="center"/>
      <protection locked="0"/>
    </xf>
    <xf numFmtId="0" fontId="19" fillId="0" borderId="0" xfId="0" applyFont="1" applyFill="1"/>
    <xf numFmtId="0" fontId="0" fillId="0" borderId="1" xfId="0" applyFill="1" applyBorder="1" applyAlignment="1">
      <alignment horizontal="center"/>
    </xf>
    <xf numFmtId="0" fontId="0" fillId="2" borderId="18" xfId="0" applyFill="1" applyBorder="1" applyAlignment="1">
      <alignment horizontal="right"/>
    </xf>
    <xf numFmtId="0" fontId="0" fillId="0" borderId="21" xfId="0" applyFill="1" applyBorder="1"/>
    <xf numFmtId="164" fontId="0" fillId="0" borderId="21" xfId="0" applyNumberFormat="1" applyFill="1" applyBorder="1" applyAlignment="1">
      <alignment horizontal="center"/>
    </xf>
    <xf numFmtId="164" fontId="12" fillId="0" borderId="21" xfId="0" applyNumberFormat="1" applyFont="1" applyFill="1" applyBorder="1" applyAlignment="1">
      <alignment horizontal="center"/>
    </xf>
    <xf numFmtId="164" fontId="9" fillId="0" borderId="20" xfId="0" applyNumberFormat="1" applyFont="1" applyFill="1" applyBorder="1" applyAlignment="1">
      <alignment horizontal="center"/>
    </xf>
    <xf numFmtId="0" fontId="12" fillId="0" borderId="0" xfId="0" applyFont="1" applyFill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2" fontId="20" fillId="0" borderId="0" xfId="0" applyNumberFormat="1" applyFont="1" applyFill="1" applyAlignment="1">
      <alignment horizontal="center"/>
    </xf>
    <xf numFmtId="164" fontId="20" fillId="0" borderId="0" xfId="0" applyNumberFormat="1" applyFont="1" applyFill="1"/>
    <xf numFmtId="164" fontId="20" fillId="0" borderId="0" xfId="0" applyNumberFormat="1" applyFont="1" applyFill="1" applyAlignment="1">
      <alignment horizontal="center"/>
    </xf>
    <xf numFmtId="0" fontId="21" fillId="0" borderId="0" xfId="0" applyFont="1" applyFill="1"/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_Plantilla climogram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Climograma</a:t>
            </a:r>
          </a:p>
        </c:rich>
      </c:tx>
      <c:layout>
        <c:manualLayout>
          <c:xMode val="edge"/>
          <c:yMode val="edge"/>
          <c:x val="0.43166736925027549"/>
          <c:y val="2.94737145083413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00019531281789"/>
          <c:y val="0.11157906206729241"/>
          <c:w val="0.77500126139528225"/>
          <c:h val="0.84421139413177848"/>
        </c:manualLayout>
      </c:layout>
      <c:barChart>
        <c:barDir val="col"/>
        <c:grouping val="clustered"/>
        <c:varyColors val="0"/>
        <c:ser>
          <c:idx val="0"/>
          <c:order val="1"/>
          <c:tx>
            <c:v>Precipitación</c:v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val>
            <c:numRef>
              <c:f>Climograma!$B$39:$M$39</c:f>
              <c:numCache>
                <c:formatCode>0.0</c:formatCode>
                <c:ptCount val="12"/>
                <c:pt idx="0">
                  <c:v>35.9</c:v>
                </c:pt>
                <c:pt idx="1">
                  <c:v>18.03</c:v>
                </c:pt>
                <c:pt idx="2">
                  <c:v>22.48</c:v>
                </c:pt>
                <c:pt idx="3">
                  <c:v>48.27</c:v>
                </c:pt>
                <c:pt idx="4">
                  <c:v>51.29</c:v>
                </c:pt>
                <c:pt idx="5">
                  <c:v>39.67</c:v>
                </c:pt>
                <c:pt idx="6">
                  <c:v>30.65</c:v>
                </c:pt>
                <c:pt idx="7">
                  <c:v>20.8</c:v>
                </c:pt>
                <c:pt idx="8">
                  <c:v>32.6</c:v>
                </c:pt>
                <c:pt idx="9">
                  <c:v>37.630000000000003</c:v>
                </c:pt>
                <c:pt idx="10">
                  <c:v>28.67</c:v>
                </c:pt>
                <c:pt idx="11">
                  <c:v>30.87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410153136"/>
        <c:axId val="410153528"/>
      </c:barChart>
      <c:lineChart>
        <c:grouping val="standard"/>
        <c:varyColors val="0"/>
        <c:ser>
          <c:idx val="1"/>
          <c:order val="0"/>
          <c:tx>
            <c:v>Temperatura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Climograma!$B$37:$M$37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Climograma!$B$38:$M$38</c:f>
              <c:numCache>
                <c:formatCode>0.0</c:formatCode>
                <c:ptCount val="12"/>
                <c:pt idx="0">
                  <c:v>8.23</c:v>
                </c:pt>
                <c:pt idx="1">
                  <c:v>9.0500000000000007</c:v>
                </c:pt>
                <c:pt idx="2">
                  <c:v>12.74</c:v>
                </c:pt>
                <c:pt idx="3">
                  <c:v>14.23</c:v>
                </c:pt>
                <c:pt idx="4">
                  <c:v>18.03</c:v>
                </c:pt>
                <c:pt idx="5">
                  <c:v>22.74</c:v>
                </c:pt>
                <c:pt idx="6">
                  <c:v>24.49</c:v>
                </c:pt>
                <c:pt idx="7">
                  <c:v>24.73</c:v>
                </c:pt>
                <c:pt idx="8">
                  <c:v>20.239999999999998</c:v>
                </c:pt>
                <c:pt idx="9">
                  <c:v>16.93</c:v>
                </c:pt>
                <c:pt idx="10">
                  <c:v>11.08</c:v>
                </c:pt>
                <c:pt idx="11">
                  <c:v>8.6999999999999993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858696"/>
        <c:axId val="410152744"/>
      </c:lineChart>
      <c:catAx>
        <c:axId val="496858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015274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10152744"/>
        <c:scaling>
          <c:orientation val="minMax"/>
          <c:max val="125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Temperatura (ºC)</a:t>
                </a:r>
              </a:p>
            </c:rich>
          </c:tx>
          <c:layout>
            <c:manualLayout>
              <c:xMode val="edge"/>
              <c:yMode val="edge"/>
              <c:x val="2.3333371310825701E-2"/>
              <c:y val="0.4294741256929746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96858696"/>
        <c:crosses val="autoZero"/>
        <c:crossBetween val="between"/>
        <c:majorUnit val="20"/>
        <c:minorUnit val="4"/>
      </c:valAx>
      <c:catAx>
        <c:axId val="410153136"/>
        <c:scaling>
          <c:orientation val="minMax"/>
        </c:scaling>
        <c:delete val="1"/>
        <c:axPos val="b"/>
        <c:majorTickMark val="out"/>
        <c:minorTickMark val="none"/>
        <c:tickLblPos val="nextTo"/>
        <c:crossAx val="410153528"/>
        <c:crossesAt val="0"/>
        <c:auto val="0"/>
        <c:lblAlgn val="ctr"/>
        <c:lblOffset val="100"/>
        <c:noMultiLvlLbl val="0"/>
      </c:catAx>
      <c:valAx>
        <c:axId val="410153528"/>
        <c:scaling>
          <c:orientation val="minMax"/>
          <c:max val="250"/>
          <c:min val="-4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Precipitaciónn (mm)</a:t>
                </a:r>
              </a:p>
            </c:rich>
          </c:tx>
          <c:layout>
            <c:manualLayout>
              <c:xMode val="edge"/>
              <c:yMode val="edge"/>
              <c:x val="0.95666822374385374"/>
              <c:y val="0.412632003116779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0153136"/>
        <c:crosses val="max"/>
        <c:crossBetween val="between"/>
        <c:majorUnit val="20"/>
        <c:minorUnit val="4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60" verticalDpi="36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Ficha hídrica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'ficha hídrica'!$A$13</c:f>
              <c:strCache>
                <c:ptCount val="1"/>
                <c:pt idx="0">
                  <c:v>Déficit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'ficha hídrica'!$C$3:$N$3</c:f>
              <c:strCache>
                <c:ptCount val="12"/>
                <c:pt idx="0">
                  <c:v>set</c:v>
                </c:pt>
                <c:pt idx="1">
                  <c:v>oct</c:v>
                </c:pt>
                <c:pt idx="2">
                  <c:v>nov</c:v>
                </c:pt>
                <c:pt idx="3">
                  <c:v>dic</c:v>
                </c:pt>
                <c:pt idx="4">
                  <c:v>ene</c:v>
                </c:pt>
                <c:pt idx="5">
                  <c:v>feb</c:v>
                </c:pt>
                <c:pt idx="6">
                  <c:v>mar</c:v>
                </c:pt>
                <c:pt idx="7">
                  <c:v>abr</c:v>
                </c:pt>
                <c:pt idx="8">
                  <c:v>may</c:v>
                </c:pt>
                <c:pt idx="9">
                  <c:v>jun</c:v>
                </c:pt>
                <c:pt idx="10">
                  <c:v>jul</c:v>
                </c:pt>
                <c:pt idx="11">
                  <c:v>ago</c:v>
                </c:pt>
              </c:strCache>
            </c:strRef>
          </c:cat>
          <c:val>
            <c:numRef>
              <c:f>'ficha hídrica'!$C$13:$N$13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43.033301362887251</c:v>
                </c:pt>
                <c:pt idx="6">
                  <c:v>90.470420092928038</c:v>
                </c:pt>
                <c:pt idx="7">
                  <c:v>113.06693693861637</c:v>
                </c:pt>
                <c:pt idx="8">
                  <c:v>75.431126058565667</c:v>
                </c:pt>
                <c:pt idx="9">
                  <c:v>43.394589706073738</c:v>
                </c:pt>
                <c:pt idx="10">
                  <c:v>12.040522027035159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'ficha hídrica'!$A$14</c:f>
              <c:strCache>
                <c:ptCount val="1"/>
                <c:pt idx="0">
                  <c:v>Reserva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'ficha hídrica'!$C$3:$N$3</c:f>
              <c:strCache>
                <c:ptCount val="12"/>
                <c:pt idx="0">
                  <c:v>set</c:v>
                </c:pt>
                <c:pt idx="1">
                  <c:v>oct</c:v>
                </c:pt>
                <c:pt idx="2">
                  <c:v>nov</c:v>
                </c:pt>
                <c:pt idx="3">
                  <c:v>dic</c:v>
                </c:pt>
                <c:pt idx="4">
                  <c:v>ene</c:v>
                </c:pt>
                <c:pt idx="5">
                  <c:v>feb</c:v>
                </c:pt>
                <c:pt idx="6">
                  <c:v>mar</c:v>
                </c:pt>
                <c:pt idx="7">
                  <c:v>abr</c:v>
                </c:pt>
                <c:pt idx="8">
                  <c:v>may</c:v>
                </c:pt>
                <c:pt idx="9">
                  <c:v>jun</c:v>
                </c:pt>
                <c:pt idx="10">
                  <c:v>jul</c:v>
                </c:pt>
                <c:pt idx="11">
                  <c:v>ago</c:v>
                </c:pt>
              </c:strCache>
            </c:strRef>
          </c:cat>
          <c:val>
            <c:numRef>
              <c:f>'ficha hídrica'!$C$14:$N$14</c:f>
              <c:numCache>
                <c:formatCode>0.0</c:formatCode>
                <c:ptCount val="12"/>
                <c:pt idx="0">
                  <c:v>15.137923318618022</c:v>
                </c:pt>
                <c:pt idx="1">
                  <c:v>11.335450592841536</c:v>
                </c:pt>
                <c:pt idx="2">
                  <c:v>0.8787765198652906</c:v>
                </c:pt>
                <c:pt idx="3">
                  <c:v>11.186750295884501</c:v>
                </c:pt>
                <c:pt idx="4">
                  <c:v>4.4893676369810507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5.4159176063820773</c:v>
                </c:pt>
              </c:numCache>
            </c:numRef>
          </c:val>
        </c:ser>
        <c:ser>
          <c:idx val="2"/>
          <c:order val="2"/>
          <c:tx>
            <c:strRef>
              <c:f>'ficha hídrica'!$A$15</c:f>
              <c:strCache>
                <c:ptCount val="1"/>
                <c:pt idx="0">
                  <c:v>Excedentes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'ficha hídrica'!$C$3:$N$3</c:f>
              <c:strCache>
                <c:ptCount val="12"/>
                <c:pt idx="0">
                  <c:v>set</c:v>
                </c:pt>
                <c:pt idx="1">
                  <c:v>oct</c:v>
                </c:pt>
                <c:pt idx="2">
                  <c:v>nov</c:v>
                </c:pt>
                <c:pt idx="3">
                  <c:v>dic</c:v>
                </c:pt>
                <c:pt idx="4">
                  <c:v>ene</c:v>
                </c:pt>
                <c:pt idx="5">
                  <c:v>feb</c:v>
                </c:pt>
                <c:pt idx="6">
                  <c:v>mar</c:v>
                </c:pt>
                <c:pt idx="7">
                  <c:v>abr</c:v>
                </c:pt>
                <c:pt idx="8">
                  <c:v>may</c:v>
                </c:pt>
                <c:pt idx="9">
                  <c:v>jun</c:v>
                </c:pt>
                <c:pt idx="10">
                  <c:v>jul</c:v>
                </c:pt>
                <c:pt idx="11">
                  <c:v>ago</c:v>
                </c:pt>
              </c:strCache>
            </c:strRef>
          </c:cat>
          <c:val>
            <c:numRef>
              <c:f>'ficha hídrica'!$C$15:$N$15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0119544"/>
        <c:axId val="460119152"/>
      </c:areaChart>
      <c:lineChart>
        <c:grouping val="standard"/>
        <c:varyColors val="0"/>
        <c:ser>
          <c:idx val="3"/>
          <c:order val="3"/>
          <c:tx>
            <c:strRef>
              <c:f>'ficha hídrica'!$A$11</c:f>
              <c:strCache>
                <c:ptCount val="1"/>
                <c:pt idx="0">
                  <c:v>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'ficha hídrica'!$C$11:$N$11</c:f>
              <c:numCache>
                <c:formatCode>0.0</c:formatCode>
                <c:ptCount val="12"/>
                <c:pt idx="0">
                  <c:v>35.9</c:v>
                </c:pt>
                <c:pt idx="1">
                  <c:v>18.03</c:v>
                </c:pt>
                <c:pt idx="2">
                  <c:v>22.48</c:v>
                </c:pt>
                <c:pt idx="3">
                  <c:v>48.27</c:v>
                </c:pt>
                <c:pt idx="4">
                  <c:v>51.29</c:v>
                </c:pt>
                <c:pt idx="5">
                  <c:v>39.67</c:v>
                </c:pt>
                <c:pt idx="6">
                  <c:v>30.65</c:v>
                </c:pt>
                <c:pt idx="7">
                  <c:v>20.8</c:v>
                </c:pt>
                <c:pt idx="8">
                  <c:v>32.6</c:v>
                </c:pt>
                <c:pt idx="9">
                  <c:v>37.630000000000003</c:v>
                </c:pt>
                <c:pt idx="10">
                  <c:v>28.67</c:v>
                </c:pt>
                <c:pt idx="11">
                  <c:v>30.87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'ficha hídrica'!$A$9</c:f>
              <c:strCache>
                <c:ptCount val="1"/>
                <c:pt idx="0">
                  <c:v>ETP corr.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'ficha hídrica'!$C$9:$N$9</c:f>
              <c:numCache>
                <c:formatCode>#,#00</c:formatCode>
                <c:ptCount val="12"/>
                <c:pt idx="0">
                  <c:v>20.762076681381977</c:v>
                </c:pt>
                <c:pt idx="1">
                  <c:v>21.832472725776487</c:v>
                </c:pt>
                <c:pt idx="2">
                  <c:v>32.936674072976245</c:v>
                </c:pt>
                <c:pt idx="3">
                  <c:v>37.962026223980793</c:v>
                </c:pt>
                <c:pt idx="4">
                  <c:v>57.987382658903449</c:v>
                </c:pt>
                <c:pt idx="5">
                  <c:v>87.192668999868303</c:v>
                </c:pt>
                <c:pt idx="6">
                  <c:v>121.12042009292803</c:v>
                </c:pt>
                <c:pt idx="7">
                  <c:v>133.86693693861636</c:v>
                </c:pt>
                <c:pt idx="8">
                  <c:v>108.03112605856568</c:v>
                </c:pt>
                <c:pt idx="9">
                  <c:v>81.024589706073741</c:v>
                </c:pt>
                <c:pt idx="10">
                  <c:v>40.710522027035161</c:v>
                </c:pt>
                <c:pt idx="11">
                  <c:v>25.454082393617924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19544"/>
        <c:axId val="460119152"/>
      </c:lineChart>
      <c:catAx>
        <c:axId val="460119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0119152"/>
        <c:crosses val="autoZero"/>
        <c:auto val="1"/>
        <c:lblAlgn val="ctr"/>
        <c:lblOffset val="100"/>
        <c:noMultiLvlLbl val="0"/>
      </c:catAx>
      <c:valAx>
        <c:axId val="46011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0119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14</xdr:col>
      <xdr:colOff>0</xdr:colOff>
      <xdr:row>30</xdr:row>
      <xdr:rowOff>152400</xdr:rowOff>
    </xdr:to>
    <xdr:graphicFrame macro="">
      <xdr:nvGraphicFramePr>
        <xdr:cNvPr id="20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285750</xdr:colOff>
      <xdr:row>3</xdr:row>
      <xdr:rowOff>119062</xdr:rowOff>
    </xdr:from>
    <xdr:to>
      <xdr:col>25</xdr:col>
      <xdr:colOff>542925</xdr:colOff>
      <xdr:row>19</xdr:row>
      <xdr:rowOff>14287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PARTAMENTO\FLA\clima\ETP_y_balance_suel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LIMOGRAMA"/>
      <sheetName val="FICHA HÍDRICA"/>
      <sheetName val="Horas de sol"/>
      <sheetName val="Cálculo climograma"/>
    </sheetNames>
    <sheetDataSet>
      <sheetData sheetId="0">
        <row r="4">
          <cell r="B4" t="str">
            <v>La Almunia</v>
          </cell>
        </row>
        <row r="6">
          <cell r="B6">
            <v>41</v>
          </cell>
          <cell r="D6">
            <v>28</v>
          </cell>
        </row>
      </sheetData>
      <sheetData sheetId="1" refreshError="1"/>
      <sheetData sheetId="2" refreshError="1"/>
      <sheetData sheetId="3">
        <row r="24">
          <cell r="B24">
            <v>12.793333333333335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>
      <selection activeCell="J38" sqref="J38"/>
    </sheetView>
  </sheetViews>
  <sheetFormatPr baseColWidth="10" defaultRowHeight="12.75"/>
  <cols>
    <col min="1" max="1" width="11.42578125" style="20"/>
    <col min="2" max="17" width="5.7109375" style="20" customWidth="1"/>
    <col min="18" max="16384" width="11.42578125" style="20"/>
  </cols>
  <sheetData>
    <row r="1" spans="1:14" ht="13.5" thickBot="1"/>
    <row r="2" spans="1:14" ht="18.75" thickBot="1">
      <c r="A2" s="40" t="s">
        <v>112</v>
      </c>
      <c r="B2" s="41"/>
      <c r="C2" s="22" t="s">
        <v>96</v>
      </c>
      <c r="D2" s="21"/>
      <c r="E2" s="21"/>
      <c r="F2" s="21"/>
      <c r="G2" s="42" t="s">
        <v>113</v>
      </c>
      <c r="H2" s="42"/>
      <c r="I2" s="42"/>
      <c r="J2" s="22">
        <v>41</v>
      </c>
      <c r="K2" s="42" t="s">
        <v>108</v>
      </c>
      <c r="L2" s="22">
        <v>28</v>
      </c>
      <c r="M2" s="42" t="s">
        <v>109</v>
      </c>
      <c r="N2" s="23" t="s">
        <v>111</v>
      </c>
    </row>
    <row r="33" spans="1:14" ht="13.5" thickBot="1"/>
    <row r="34" spans="1:14" ht="16.5" thickBot="1">
      <c r="A34" s="43" t="s">
        <v>30</v>
      </c>
      <c r="B34" s="41"/>
      <c r="C34" s="41"/>
      <c r="D34" s="41"/>
      <c r="E34" s="41"/>
      <c r="F34" s="44"/>
      <c r="G34" s="24" t="str">
        <f>Cálculo!C33</f>
        <v>BSfk</v>
      </c>
      <c r="I34" s="45" t="s">
        <v>45</v>
      </c>
      <c r="J34" s="46"/>
      <c r="K34" s="46"/>
      <c r="L34" s="46"/>
      <c r="M34" s="25"/>
      <c r="N34" s="26" t="str">
        <f>Cálculo!G27</f>
        <v>Zona Parda</v>
      </c>
    </row>
    <row r="35" spans="1:14" ht="16.5" thickBot="1">
      <c r="A35" s="27"/>
      <c r="B35" s="28"/>
      <c r="C35" s="28"/>
      <c r="D35" s="28"/>
      <c r="E35" s="28"/>
      <c r="F35" s="28"/>
      <c r="G35" s="29"/>
      <c r="I35" s="63"/>
      <c r="J35" s="62"/>
      <c r="K35" s="30"/>
      <c r="L35" s="30"/>
      <c r="M35" s="30"/>
      <c r="N35" s="31" t="str">
        <f>Cálculo!G39</f>
        <v>Continental atenuada</v>
      </c>
    </row>
    <row r="36" spans="1:14" ht="16.5" thickBot="1">
      <c r="A36" s="32"/>
      <c r="G36" s="33"/>
    </row>
    <row r="37" spans="1:14">
      <c r="A37" s="47"/>
      <c r="B37" s="53" t="s">
        <v>2</v>
      </c>
      <c r="C37" s="53" t="s">
        <v>3</v>
      </c>
      <c r="D37" s="53" t="s">
        <v>4</v>
      </c>
      <c r="E37" s="53" t="s">
        <v>5</v>
      </c>
      <c r="F37" s="53" t="s">
        <v>6</v>
      </c>
      <c r="G37" s="53" t="s">
        <v>7</v>
      </c>
      <c r="H37" s="53" t="s">
        <v>8</v>
      </c>
      <c r="I37" s="53" t="s">
        <v>9</v>
      </c>
      <c r="J37" s="53" t="s">
        <v>10</v>
      </c>
      <c r="K37" s="53" t="s">
        <v>11</v>
      </c>
      <c r="L37" s="53" t="s">
        <v>12</v>
      </c>
      <c r="M37" s="53" t="s">
        <v>13</v>
      </c>
      <c r="N37" s="48"/>
    </row>
    <row r="38" spans="1:14">
      <c r="A38" s="49" t="s">
        <v>0</v>
      </c>
      <c r="B38" s="54">
        <v>8.23</v>
      </c>
      <c r="C38" s="54">
        <v>9.0500000000000007</v>
      </c>
      <c r="D38" s="54">
        <v>12.74</v>
      </c>
      <c r="E38" s="54">
        <v>14.23</v>
      </c>
      <c r="F38" s="54">
        <v>18.03</v>
      </c>
      <c r="G38" s="54">
        <v>22.74</v>
      </c>
      <c r="H38" s="54">
        <v>24.49</v>
      </c>
      <c r="I38" s="54">
        <v>24.73</v>
      </c>
      <c r="J38" s="54">
        <v>20.239999999999998</v>
      </c>
      <c r="K38" s="54">
        <v>16.93</v>
      </c>
      <c r="L38" s="54">
        <v>11.08</v>
      </c>
      <c r="M38" s="54">
        <v>8.6999999999999993</v>
      </c>
      <c r="N38" s="51" t="s">
        <v>31</v>
      </c>
    </row>
    <row r="39" spans="1:14" ht="13.5" thickBot="1">
      <c r="A39" s="50" t="s">
        <v>1</v>
      </c>
      <c r="B39" s="55">
        <v>35.9</v>
      </c>
      <c r="C39" s="55">
        <v>18.03</v>
      </c>
      <c r="D39" s="55">
        <v>22.48</v>
      </c>
      <c r="E39" s="55">
        <v>48.27</v>
      </c>
      <c r="F39" s="55">
        <v>51.29</v>
      </c>
      <c r="G39" s="55">
        <v>39.67</v>
      </c>
      <c r="H39" s="55">
        <v>30.65</v>
      </c>
      <c r="I39" s="55">
        <v>20.8</v>
      </c>
      <c r="J39" s="55">
        <v>32.6</v>
      </c>
      <c r="K39" s="55">
        <v>37.630000000000003</v>
      </c>
      <c r="L39" s="55">
        <v>28.67</v>
      </c>
      <c r="M39" s="55">
        <v>30.87</v>
      </c>
      <c r="N39" s="52" t="s">
        <v>32</v>
      </c>
    </row>
    <row r="40" spans="1:14" ht="13.5" thickBot="1"/>
    <row r="41" spans="1:14">
      <c r="A41" s="56" t="s">
        <v>33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57"/>
    </row>
    <row r="42" spans="1:14">
      <c r="A42" s="58" t="s">
        <v>40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60"/>
    </row>
    <row r="43" spans="1:14">
      <c r="A43" s="58"/>
      <c r="B43" s="59" t="s">
        <v>34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35">
        <f>AVERAGE(B38:M38)</f>
        <v>15.932499999999999</v>
      </c>
      <c r="N43" s="34" t="s">
        <v>31</v>
      </c>
    </row>
    <row r="44" spans="1:14">
      <c r="A44" s="58"/>
      <c r="B44" s="59" t="s">
        <v>35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28">
        <f>Cálculo!H15</f>
        <v>16.5</v>
      </c>
      <c r="N44" s="34" t="s">
        <v>31</v>
      </c>
    </row>
    <row r="45" spans="1:14">
      <c r="A45" s="58"/>
      <c r="B45" s="59" t="s">
        <v>37</v>
      </c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28"/>
      <c r="N45" s="36" t="str">
        <f>Cálculo!C34</f>
        <v>caluroso</v>
      </c>
    </row>
    <row r="46" spans="1:14">
      <c r="A46" s="58"/>
      <c r="B46" s="59" t="s">
        <v>38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28"/>
      <c r="N46" s="36" t="str">
        <f>Cálculo!C35</f>
        <v>moderado</v>
      </c>
    </row>
    <row r="47" spans="1:14">
      <c r="A47" s="58" t="s">
        <v>41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28"/>
      <c r="N47" s="34"/>
    </row>
    <row r="48" spans="1:14">
      <c r="A48" s="58"/>
      <c r="B48" s="59" t="s">
        <v>42</v>
      </c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28">
        <f>Cálculo!B16</f>
        <v>396.86</v>
      </c>
      <c r="N48" s="34" t="s">
        <v>32</v>
      </c>
    </row>
    <row r="49" spans="1:14">
      <c r="A49" s="58"/>
      <c r="B49" s="59" t="s">
        <v>50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28"/>
      <c r="N49" s="36" t="str">
        <f>Cálculo!G19</f>
        <v>Algo lluvioso</v>
      </c>
    </row>
    <row r="50" spans="1:14" ht="13.5" thickBot="1">
      <c r="A50" s="61"/>
      <c r="B50" s="62" t="s">
        <v>43</v>
      </c>
      <c r="C50" s="62"/>
      <c r="D50" s="62"/>
      <c r="E50" s="62"/>
      <c r="F50" s="62"/>
      <c r="G50" s="62"/>
      <c r="H50" s="62"/>
      <c r="I50" s="62"/>
      <c r="J50" s="30"/>
      <c r="K50" s="30"/>
      <c r="L50" s="30"/>
      <c r="M50" s="30"/>
      <c r="N50" s="37" t="str">
        <f>Cálculo!C49</f>
        <v xml:space="preserve"> Feb Mar   Jun Jul Ago Sep   </v>
      </c>
    </row>
    <row r="51" spans="1:14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38"/>
    </row>
    <row r="52" spans="1:14" ht="13.5" thickBot="1"/>
    <row r="53" spans="1:14">
      <c r="A53" s="56" t="s">
        <v>47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57"/>
    </row>
    <row r="54" spans="1:14">
      <c r="A54" s="58"/>
      <c r="B54" s="59" t="s">
        <v>48</v>
      </c>
      <c r="C54" s="59"/>
      <c r="D54" s="59"/>
      <c r="E54" s="28">
        <f>M48/(M43+10)</f>
        <v>15.303576593078185</v>
      </c>
      <c r="F54" s="28"/>
      <c r="G54" s="28" t="str">
        <f>Cálculo!C51</f>
        <v>clima árido</v>
      </c>
      <c r="H54" s="28"/>
      <c r="I54" s="28"/>
      <c r="J54" s="28"/>
      <c r="K54" s="28"/>
      <c r="L54" s="28"/>
      <c r="M54" s="28"/>
      <c r="N54" s="34"/>
    </row>
    <row r="55" spans="1:14" ht="13.5" thickBot="1">
      <c r="A55" s="61"/>
      <c r="B55" s="62" t="s">
        <v>99</v>
      </c>
      <c r="C55" s="62"/>
      <c r="D55" s="62"/>
      <c r="E55" s="30">
        <f>M43*100/M48</f>
        <v>4.0146399233986791</v>
      </c>
      <c r="F55" s="30"/>
      <c r="G55" s="30" t="str">
        <f>Cálculo!C52</f>
        <v>zona subdesértica</v>
      </c>
      <c r="H55" s="30"/>
      <c r="I55" s="30"/>
      <c r="J55" s="30"/>
      <c r="K55" s="30"/>
      <c r="L55" s="30"/>
      <c r="M55" s="30"/>
      <c r="N55" s="39"/>
    </row>
  </sheetData>
  <sheetProtection password="DE39" sheet="1" objects="1" scenarios="1" selectLockedCells="1"/>
  <protectedRanges>
    <protectedRange sqref="C2" name="nombre"/>
    <protectedRange sqref="J2" name="lat01"/>
    <protectedRange sqref="L2" name="lat02"/>
    <protectedRange sqref="N2" name="lat03"/>
    <protectedRange sqref="B38:L39" name="Datos"/>
  </protectedRanges>
  <phoneticPr fontId="2" type="noConversion"/>
  <pageMargins left="0.59055118110236227" right="0.59055118110236227" top="0.78740157480314965" bottom="0.78740157480314965" header="0" footer="0"/>
  <pageSetup paperSize="9" orientation="portrait" horizontalDpi="360" verticalDpi="360" r:id="rId1"/>
  <headerFooter alignWithMargins="0">
    <oddHeader>&amp;LI.E.S. Cabañas&amp;CProyecto Sócrates&amp;ROur local waterworlds</oddHeader>
    <oddFooter>&amp;RFrancisco   L. Alda 2006/07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2"/>
  <sheetViews>
    <sheetView workbookViewId="0">
      <selection activeCell="R20" sqref="R20"/>
    </sheetView>
  </sheetViews>
  <sheetFormatPr baseColWidth="10" defaultRowHeight="12.75"/>
  <cols>
    <col min="1" max="1" width="12.7109375" style="3" customWidth="1"/>
    <col min="2" max="2" width="3.140625" style="3" customWidth="1"/>
    <col min="3" max="14" width="5.5703125" style="75" customWidth="1"/>
    <col min="15" max="15" width="0.140625" style="75" customWidth="1"/>
    <col min="16" max="16" width="6.7109375" style="77" customWidth="1"/>
    <col min="17" max="17" width="3.28515625" style="3" customWidth="1"/>
    <col min="18" max="18" width="6.28515625" style="3" customWidth="1"/>
    <col min="19" max="19" width="7.42578125" style="3" customWidth="1"/>
    <col min="20" max="20" width="7.5703125" style="3" customWidth="1"/>
    <col min="21" max="16384" width="11.42578125" style="3"/>
  </cols>
  <sheetData>
    <row r="1" spans="1:20" ht="16.5" thickBot="1">
      <c r="A1" s="70" t="s">
        <v>120</v>
      </c>
      <c r="B1" s="71"/>
      <c r="C1" s="72" t="str">
        <f>Climograma!C2</f>
        <v>La Almunia</v>
      </c>
      <c r="D1" s="73"/>
      <c r="E1" s="73"/>
      <c r="F1" s="73"/>
      <c r="G1" s="73"/>
      <c r="H1" s="74"/>
      <c r="M1" s="76"/>
    </row>
    <row r="2" spans="1:20" ht="19.5" customHeight="1" thickBot="1">
      <c r="B2" s="78"/>
      <c r="D2" s="78"/>
      <c r="E2" s="78"/>
      <c r="H2" s="78"/>
      <c r="I2" s="79"/>
      <c r="N2" s="80"/>
      <c r="O2" s="81" t="s">
        <v>121</v>
      </c>
      <c r="P2" s="82">
        <v>100</v>
      </c>
    </row>
    <row r="3" spans="1:20" s="75" customFormat="1" ht="15" customHeight="1">
      <c r="A3" s="83"/>
      <c r="B3" s="84"/>
      <c r="C3" s="84" t="s">
        <v>122</v>
      </c>
      <c r="D3" s="84" t="s">
        <v>123</v>
      </c>
      <c r="E3" s="84" t="s">
        <v>124</v>
      </c>
      <c r="F3" s="84" t="s">
        <v>125</v>
      </c>
      <c r="G3" s="84" t="s">
        <v>126</v>
      </c>
      <c r="H3" s="84" t="s">
        <v>127</v>
      </c>
      <c r="I3" s="84" t="s">
        <v>128</v>
      </c>
      <c r="J3" s="84" t="s">
        <v>129</v>
      </c>
      <c r="K3" s="84" t="s">
        <v>130</v>
      </c>
      <c r="L3" s="84" t="s">
        <v>131</v>
      </c>
      <c r="M3" s="84" t="s">
        <v>132</v>
      </c>
      <c r="N3" s="84" t="s">
        <v>133</v>
      </c>
      <c r="O3" s="84" t="s">
        <v>122</v>
      </c>
      <c r="P3" s="85" t="s">
        <v>134</v>
      </c>
    </row>
    <row r="4" spans="1:20" ht="15" customHeight="1" thickBot="1">
      <c r="A4" s="86" t="s">
        <v>135</v>
      </c>
      <c r="B4" s="87"/>
      <c r="C4" s="88">
        <f>Climograma!B38</f>
        <v>8.23</v>
      </c>
      <c r="D4" s="88">
        <f>Climograma!C38</f>
        <v>9.0500000000000007</v>
      </c>
      <c r="E4" s="88">
        <f>Climograma!D38</f>
        <v>12.74</v>
      </c>
      <c r="F4" s="88">
        <f>Climograma!E38</f>
        <v>14.23</v>
      </c>
      <c r="G4" s="88">
        <f>Climograma!F38</f>
        <v>18.03</v>
      </c>
      <c r="H4" s="88">
        <f>Climograma!G38</f>
        <v>22.74</v>
      </c>
      <c r="I4" s="88">
        <f>Climograma!H38</f>
        <v>24.49</v>
      </c>
      <c r="J4" s="88">
        <f>Climograma!I38</f>
        <v>24.73</v>
      </c>
      <c r="K4" s="88">
        <f>Climograma!J38</f>
        <v>20.239999999999998</v>
      </c>
      <c r="L4" s="88">
        <f>Climograma!K38</f>
        <v>16.93</v>
      </c>
      <c r="M4" s="88">
        <f>Climograma!L38</f>
        <v>11.08</v>
      </c>
      <c r="N4" s="88">
        <f>Climograma!M38</f>
        <v>8.6999999999999993</v>
      </c>
      <c r="O4" s="89">
        <f>C4</f>
        <v>8.23</v>
      </c>
      <c r="P4" s="90"/>
    </row>
    <row r="5" spans="1:20" ht="15" customHeight="1" thickBot="1">
      <c r="A5" s="91" t="s">
        <v>136</v>
      </c>
      <c r="B5" s="92"/>
      <c r="C5" s="93">
        <f t="shared" ref="C5:N5" si="0">(C4/5)^1.514</f>
        <v>2.1265459139747787</v>
      </c>
      <c r="D5" s="93">
        <f t="shared" si="0"/>
        <v>2.4554175880585394</v>
      </c>
      <c r="E5" s="93">
        <f t="shared" si="0"/>
        <v>4.1208416599474145</v>
      </c>
      <c r="F5" s="93">
        <f t="shared" si="0"/>
        <v>4.8720488278634662</v>
      </c>
      <c r="G5" s="93">
        <f t="shared" si="0"/>
        <v>6.9716719560203897</v>
      </c>
      <c r="H5" s="93">
        <f t="shared" si="0"/>
        <v>9.9069545458369763</v>
      </c>
      <c r="I5" s="93">
        <f t="shared" si="0"/>
        <v>11.083793708879842</v>
      </c>
      <c r="J5" s="93">
        <f t="shared" si="0"/>
        <v>11.248658330375013</v>
      </c>
      <c r="K5" s="93">
        <f t="shared" si="0"/>
        <v>8.3054300104821408</v>
      </c>
      <c r="L5" s="93">
        <f t="shared" si="0"/>
        <v>6.3379097112040919</v>
      </c>
      <c r="M5" s="93">
        <f t="shared" si="0"/>
        <v>3.3357432099261808</v>
      </c>
      <c r="N5" s="93">
        <f t="shared" si="0"/>
        <v>2.3130848381758327</v>
      </c>
      <c r="O5" s="94">
        <f t="shared" ref="O5:O15" si="1">C5</f>
        <v>2.1265459139747787</v>
      </c>
      <c r="P5" s="90">
        <f>SUM(C5:N5)</f>
        <v>73.078100300744666</v>
      </c>
      <c r="Q5" s="95" t="s">
        <v>137</v>
      </c>
      <c r="R5" s="96">
        <f>0.000000675*I^3-0.0000771*I^2+0.01792*I+0.49239</f>
        <v>1.653634218181685</v>
      </c>
    </row>
    <row r="6" spans="1:20" ht="15" customHeight="1">
      <c r="A6" s="91" t="s">
        <v>138</v>
      </c>
      <c r="B6" s="92"/>
      <c r="C6" s="97">
        <f t="shared" ref="C6:N6" si="2">16*(10*C4/I)^a</f>
        <v>19.474589904370795</v>
      </c>
      <c r="D6" s="97">
        <f t="shared" si="2"/>
        <v>22.786554189140311</v>
      </c>
      <c r="E6" s="97">
        <f t="shared" si="2"/>
        <v>40.112322957616527</v>
      </c>
      <c r="F6" s="97">
        <f t="shared" si="2"/>
        <v>48.162709773628812</v>
      </c>
      <c r="G6" s="97">
        <f t="shared" si="2"/>
        <v>71.234329668792626</v>
      </c>
      <c r="H6" s="97">
        <f t="shared" si="2"/>
        <v>104.56033412893237</v>
      </c>
      <c r="I6" s="97">
        <f t="shared" si="2"/>
        <v>118.198295563714</v>
      </c>
      <c r="J6" s="97">
        <f t="shared" si="2"/>
        <v>120.11988359397282</v>
      </c>
      <c r="K6" s="97">
        <f t="shared" si="2"/>
        <v>86.243470139300243</v>
      </c>
      <c r="L6" s="97">
        <f t="shared" si="2"/>
        <v>64.192016492487994</v>
      </c>
      <c r="M6" s="97">
        <f t="shared" si="2"/>
        <v>31.843333132376824</v>
      </c>
      <c r="N6" s="97">
        <f t="shared" si="2"/>
        <v>21.347794574298657</v>
      </c>
      <c r="O6" s="94">
        <f t="shared" si="1"/>
        <v>19.474589904370795</v>
      </c>
      <c r="P6" s="90"/>
    </row>
    <row r="7" spans="1:20" ht="15" customHeight="1">
      <c r="A7" s="91" t="s">
        <v>139</v>
      </c>
      <c r="B7" s="92"/>
      <c r="C7" s="98">
        <v>30</v>
      </c>
      <c r="D7" s="98">
        <v>31</v>
      </c>
      <c r="E7" s="98">
        <v>30</v>
      </c>
      <c r="F7" s="98">
        <v>31</v>
      </c>
      <c r="G7" s="98">
        <v>31</v>
      </c>
      <c r="H7" s="98">
        <v>28.25</v>
      </c>
      <c r="I7" s="98">
        <v>31</v>
      </c>
      <c r="J7" s="98">
        <v>30</v>
      </c>
      <c r="K7" s="98">
        <v>31</v>
      </c>
      <c r="L7" s="98">
        <v>30</v>
      </c>
      <c r="M7" s="98">
        <v>31</v>
      </c>
      <c r="N7" s="98">
        <v>31</v>
      </c>
      <c r="O7" s="94">
        <f t="shared" si="1"/>
        <v>30</v>
      </c>
      <c r="P7" s="90"/>
    </row>
    <row r="8" spans="1:20" ht="15" customHeight="1">
      <c r="A8" s="86" t="s">
        <v>140</v>
      </c>
      <c r="B8" s="87"/>
      <c r="C8" s="99">
        <f>'horas sol'!B24</f>
        <v>12.793333333333335</v>
      </c>
      <c r="D8" s="99">
        <f>'horas sol'!C24</f>
        <v>11.126666666666667</v>
      </c>
      <c r="E8" s="99">
        <f>'horas sol'!D24</f>
        <v>9.8533333333333335</v>
      </c>
      <c r="F8" s="99">
        <f>'horas sol'!E24</f>
        <v>9.1533333333333324</v>
      </c>
      <c r="G8" s="99">
        <f>'horas sol'!F24</f>
        <v>9.4533333333333331</v>
      </c>
      <c r="H8" s="99">
        <f>'horas sol'!G24</f>
        <v>10.626666666666667</v>
      </c>
      <c r="I8" s="99">
        <f>'horas sol'!H24</f>
        <v>11.9</v>
      </c>
      <c r="J8" s="99">
        <f>'horas sol'!I24</f>
        <v>13.373333333333333</v>
      </c>
      <c r="K8" s="99">
        <f>'horas sol'!J24</f>
        <v>14.546666666666667</v>
      </c>
      <c r="L8" s="99">
        <f>'horas sol'!K24</f>
        <v>15.146666666666667</v>
      </c>
      <c r="M8" s="99">
        <f>'horas sol'!L24</f>
        <v>14.846666666666668</v>
      </c>
      <c r="N8" s="99">
        <f>'horas sol'!M24</f>
        <v>13.846666666666668</v>
      </c>
      <c r="O8" s="100">
        <f t="shared" si="1"/>
        <v>12.793333333333335</v>
      </c>
      <c r="P8" s="90"/>
    </row>
    <row r="9" spans="1:20" ht="15" customHeight="1">
      <c r="A9" s="91" t="s">
        <v>141</v>
      </c>
      <c r="B9" s="101"/>
      <c r="C9" s="102">
        <f t="shared" ref="C9:N9" si="3">C6*C7/30*C8/12</f>
        <v>20.762076681381977</v>
      </c>
      <c r="D9" s="102">
        <f t="shared" si="3"/>
        <v>21.832472725776487</v>
      </c>
      <c r="E9" s="102">
        <f t="shared" si="3"/>
        <v>32.936674072976245</v>
      </c>
      <c r="F9" s="102">
        <f t="shared" si="3"/>
        <v>37.962026223980793</v>
      </c>
      <c r="G9" s="102">
        <f t="shared" si="3"/>
        <v>57.987382658903449</v>
      </c>
      <c r="H9" s="102">
        <f t="shared" si="3"/>
        <v>87.192668999868303</v>
      </c>
      <c r="I9" s="102">
        <f t="shared" si="3"/>
        <v>121.12042009292803</v>
      </c>
      <c r="J9" s="102">
        <f t="shared" si="3"/>
        <v>133.86693693861636</v>
      </c>
      <c r="K9" s="102">
        <f t="shared" si="3"/>
        <v>108.03112605856568</v>
      </c>
      <c r="L9" s="102">
        <f t="shared" si="3"/>
        <v>81.024589706073741</v>
      </c>
      <c r="M9" s="102">
        <f t="shared" si="3"/>
        <v>40.710522027035161</v>
      </c>
      <c r="N9" s="102">
        <f t="shared" si="3"/>
        <v>25.454082393617924</v>
      </c>
      <c r="O9" s="102">
        <f t="shared" si="1"/>
        <v>20.762076681381977</v>
      </c>
      <c r="P9" s="103">
        <f>SUM(C9:N9)</f>
        <v>768.880978579724</v>
      </c>
      <c r="T9" s="104"/>
    </row>
    <row r="10" spans="1:20" ht="8.25" customHeight="1">
      <c r="A10" s="91"/>
      <c r="B10" s="101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0"/>
      <c r="P10" s="103"/>
    </row>
    <row r="11" spans="1:20" ht="15" customHeight="1" thickBot="1">
      <c r="A11" s="86" t="s">
        <v>98</v>
      </c>
      <c r="B11" s="87"/>
      <c r="C11" s="106">
        <f>Climograma!B39</f>
        <v>35.9</v>
      </c>
      <c r="D11" s="106">
        <f>Climograma!C39</f>
        <v>18.03</v>
      </c>
      <c r="E11" s="106">
        <f>Climograma!D39</f>
        <v>22.48</v>
      </c>
      <c r="F11" s="106">
        <f>Climograma!E39</f>
        <v>48.27</v>
      </c>
      <c r="G11" s="106">
        <f>Climograma!F39</f>
        <v>51.29</v>
      </c>
      <c r="H11" s="106">
        <f>Climograma!G39</f>
        <v>39.67</v>
      </c>
      <c r="I11" s="106">
        <f>Climograma!H39</f>
        <v>30.65</v>
      </c>
      <c r="J11" s="106">
        <f>Climograma!I39</f>
        <v>20.8</v>
      </c>
      <c r="K11" s="106">
        <f>Climograma!J39</f>
        <v>32.6</v>
      </c>
      <c r="L11" s="106">
        <f>Climograma!K39</f>
        <v>37.630000000000003</v>
      </c>
      <c r="M11" s="106">
        <f>Climograma!L39</f>
        <v>28.67</v>
      </c>
      <c r="N11" s="106">
        <f>Climograma!M39</f>
        <v>30.87</v>
      </c>
      <c r="O11" s="100">
        <f t="shared" si="1"/>
        <v>35.9</v>
      </c>
      <c r="P11" s="103">
        <f>SUM(C11:N11)</f>
        <v>396.86</v>
      </c>
    </row>
    <row r="12" spans="1:20" ht="15" customHeight="1">
      <c r="A12" s="91" t="s">
        <v>142</v>
      </c>
      <c r="B12" s="92"/>
      <c r="C12" s="97">
        <f t="shared" ref="C12:N12" si="4">IF(ETP&lt;P+B14,ETP,P+B14)</f>
        <v>20.762076681381977</v>
      </c>
      <c r="D12" s="97">
        <f t="shared" si="4"/>
        <v>21.832472725776487</v>
      </c>
      <c r="E12" s="97">
        <f t="shared" si="4"/>
        <v>32.936674072976245</v>
      </c>
      <c r="F12" s="97">
        <f t="shared" si="4"/>
        <v>37.962026223980793</v>
      </c>
      <c r="G12" s="97">
        <f t="shared" si="4"/>
        <v>57.987382658903449</v>
      </c>
      <c r="H12" s="97">
        <f t="shared" si="4"/>
        <v>44.159367636981052</v>
      </c>
      <c r="I12" s="97">
        <f t="shared" si="4"/>
        <v>30.65</v>
      </c>
      <c r="J12" s="97">
        <f t="shared" si="4"/>
        <v>20.8</v>
      </c>
      <c r="K12" s="97">
        <f t="shared" si="4"/>
        <v>32.6</v>
      </c>
      <c r="L12" s="97">
        <f t="shared" si="4"/>
        <v>37.630000000000003</v>
      </c>
      <c r="M12" s="97">
        <f t="shared" si="4"/>
        <v>28.67</v>
      </c>
      <c r="N12" s="97">
        <f t="shared" si="4"/>
        <v>25.454082393617924</v>
      </c>
      <c r="O12" s="94">
        <f t="shared" si="1"/>
        <v>20.762076681381977</v>
      </c>
      <c r="P12" s="103">
        <f>SUM(C12:N12)</f>
        <v>391.44408239361792</v>
      </c>
    </row>
    <row r="13" spans="1:20" ht="15" customHeight="1">
      <c r="A13" s="91" t="s">
        <v>143</v>
      </c>
      <c r="B13" s="92"/>
      <c r="C13" s="97">
        <f>ETP-ETR</f>
        <v>0</v>
      </c>
      <c r="D13" s="97">
        <f t="shared" ref="D13:N13" si="5">ETP-ETR</f>
        <v>0</v>
      </c>
      <c r="E13" s="97">
        <f t="shared" si="5"/>
        <v>0</v>
      </c>
      <c r="F13" s="97">
        <f t="shared" si="5"/>
        <v>0</v>
      </c>
      <c r="G13" s="97">
        <f t="shared" si="5"/>
        <v>0</v>
      </c>
      <c r="H13" s="97">
        <f t="shared" si="5"/>
        <v>43.033301362887251</v>
      </c>
      <c r="I13" s="97">
        <f t="shared" si="5"/>
        <v>90.470420092928038</v>
      </c>
      <c r="J13" s="97">
        <f t="shared" si="5"/>
        <v>113.06693693861637</v>
      </c>
      <c r="K13" s="97">
        <f t="shared" si="5"/>
        <v>75.431126058565667</v>
      </c>
      <c r="L13" s="97">
        <f t="shared" si="5"/>
        <v>43.394589706073738</v>
      </c>
      <c r="M13" s="97">
        <f t="shared" si="5"/>
        <v>12.040522027035159</v>
      </c>
      <c r="N13" s="97">
        <f t="shared" si="5"/>
        <v>0</v>
      </c>
      <c r="O13" s="94">
        <f t="shared" si="1"/>
        <v>0</v>
      </c>
      <c r="P13" s="103">
        <f>SUM(C13:N13)</f>
        <v>377.4368961861062</v>
      </c>
      <c r="S13" s="107"/>
    </row>
    <row r="14" spans="1:20" ht="15" customHeight="1">
      <c r="A14" s="91" t="s">
        <v>144</v>
      </c>
      <c r="B14" s="108">
        <v>0</v>
      </c>
      <c r="C14" s="97">
        <f>IF(B14+(P-ETR)&gt;Res,Res,B14+(P-ETR))</f>
        <v>15.137923318618022</v>
      </c>
      <c r="D14" s="97">
        <f t="shared" ref="D14:N14" si="6">IF(C14+(P-ETR)&gt;Res,Res,C14+(P-ETR))</f>
        <v>11.335450592841536</v>
      </c>
      <c r="E14" s="97">
        <f t="shared" si="6"/>
        <v>0.8787765198652906</v>
      </c>
      <c r="F14" s="97">
        <f t="shared" si="6"/>
        <v>11.186750295884501</v>
      </c>
      <c r="G14" s="97">
        <f t="shared" si="6"/>
        <v>4.4893676369810507</v>
      </c>
      <c r="H14" s="97">
        <f t="shared" si="6"/>
        <v>0</v>
      </c>
      <c r="I14" s="97">
        <f t="shared" si="6"/>
        <v>0</v>
      </c>
      <c r="J14" s="97">
        <f t="shared" si="6"/>
        <v>0</v>
      </c>
      <c r="K14" s="97">
        <f t="shared" si="6"/>
        <v>0</v>
      </c>
      <c r="L14" s="97">
        <f t="shared" si="6"/>
        <v>0</v>
      </c>
      <c r="M14" s="97">
        <f t="shared" si="6"/>
        <v>0</v>
      </c>
      <c r="N14" s="97">
        <f t="shared" si="6"/>
        <v>5.4159176063820773</v>
      </c>
      <c r="O14" s="94">
        <f t="shared" si="1"/>
        <v>15.137923318618022</v>
      </c>
      <c r="P14" s="103"/>
    </row>
    <row r="15" spans="1:20" ht="15" customHeight="1" thickBot="1">
      <c r="A15" s="109" t="s">
        <v>145</v>
      </c>
      <c r="B15" s="110"/>
      <c r="C15" s="111">
        <f>IF(B14+(P-ETR)&gt;Res,B14+(P-ETR)-Res,0)</f>
        <v>0</v>
      </c>
      <c r="D15" s="111">
        <f t="shared" ref="D15:N15" si="7">IF(C14+(P-ETR)&gt;Res,C14+(P-ETR)-Res,0)</f>
        <v>0</v>
      </c>
      <c r="E15" s="111">
        <f t="shared" si="7"/>
        <v>0</v>
      </c>
      <c r="F15" s="111">
        <f t="shared" si="7"/>
        <v>0</v>
      </c>
      <c r="G15" s="111">
        <f t="shared" si="7"/>
        <v>0</v>
      </c>
      <c r="H15" s="111">
        <f t="shared" si="7"/>
        <v>0</v>
      </c>
      <c r="I15" s="111">
        <f t="shared" si="7"/>
        <v>0</v>
      </c>
      <c r="J15" s="111">
        <f t="shared" si="7"/>
        <v>0</v>
      </c>
      <c r="K15" s="111">
        <f t="shared" si="7"/>
        <v>0</v>
      </c>
      <c r="L15" s="111">
        <f t="shared" si="7"/>
        <v>0</v>
      </c>
      <c r="M15" s="111">
        <f t="shared" si="7"/>
        <v>0</v>
      </c>
      <c r="N15" s="111">
        <f t="shared" si="7"/>
        <v>0</v>
      </c>
      <c r="O15" s="112">
        <f t="shared" si="1"/>
        <v>0</v>
      </c>
      <c r="P15" s="113">
        <f>SUM(C15:N15)</f>
        <v>0</v>
      </c>
    </row>
    <row r="17" spans="1:16">
      <c r="A17" s="114"/>
    </row>
    <row r="18" spans="1:16">
      <c r="A18" s="114"/>
    </row>
    <row r="19" spans="1:16">
      <c r="A19" s="114"/>
      <c r="B19" s="115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7"/>
    </row>
    <row r="20" spans="1:16">
      <c r="A20" s="114"/>
      <c r="B20" s="115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7"/>
    </row>
    <row r="21" spans="1:16">
      <c r="A21" s="114"/>
      <c r="B21" s="115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7"/>
      <c r="O21" s="117"/>
    </row>
    <row r="22" spans="1:16">
      <c r="A22" s="114"/>
      <c r="B22" s="115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7"/>
      <c r="O22" s="117"/>
    </row>
    <row r="23" spans="1:16">
      <c r="A23" s="114"/>
      <c r="B23" s="115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7"/>
      <c r="O23" s="117"/>
    </row>
    <row r="24" spans="1:16">
      <c r="A24" s="114"/>
      <c r="B24" s="118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7"/>
      <c r="O24" s="117"/>
    </row>
    <row r="25" spans="1:16">
      <c r="A25" s="114"/>
    </row>
    <row r="26" spans="1:16">
      <c r="A26" s="114"/>
    </row>
    <row r="27" spans="1:16">
      <c r="A27" s="114"/>
    </row>
    <row r="29" spans="1:16">
      <c r="A29" s="114"/>
    </row>
    <row r="30" spans="1:16">
      <c r="A30" s="115"/>
    </row>
    <row r="31" spans="1:16" ht="7.5" customHeight="1">
      <c r="A31" s="115"/>
    </row>
    <row r="32" spans="1:16">
      <c r="A32" s="120"/>
    </row>
  </sheetData>
  <protectedRanges>
    <protectedRange sqref="C4:N4" name="Datos"/>
    <protectedRange sqref="C11:N11" name="Datos_1"/>
  </protectedRanges>
  <phoneticPr fontId="2" type="noConversion"/>
  <pageMargins left="0.75" right="0.75" top="1" bottom="1" header="0" footer="0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3" workbookViewId="0">
      <selection activeCell="H30" sqref="H30"/>
    </sheetView>
  </sheetViews>
  <sheetFormatPr baseColWidth="10" defaultRowHeight="12.75"/>
  <sheetData>
    <row r="1" spans="1:8">
      <c r="A1" t="s">
        <v>25</v>
      </c>
    </row>
    <row r="2" spans="1:8">
      <c r="A2" t="s">
        <v>14</v>
      </c>
      <c r="E2" t="s">
        <v>15</v>
      </c>
    </row>
    <row r="3" spans="1:8">
      <c r="B3" s="1" t="s">
        <v>0</v>
      </c>
      <c r="C3" s="1" t="s">
        <v>1</v>
      </c>
      <c r="F3" s="1" t="s">
        <v>0</v>
      </c>
      <c r="G3" s="1" t="s">
        <v>1</v>
      </c>
    </row>
    <row r="4" spans="1:8">
      <c r="A4" t="s">
        <v>2</v>
      </c>
      <c r="B4">
        <f>Climograma!B38</f>
        <v>8.23</v>
      </c>
      <c r="C4">
        <f>Climograma!B39</f>
        <v>35.9</v>
      </c>
      <c r="E4" t="s">
        <v>5</v>
      </c>
      <c r="F4">
        <f>Climograma!E38</f>
        <v>14.23</v>
      </c>
      <c r="G4">
        <f>Climograma!E39</f>
        <v>48.27</v>
      </c>
    </row>
    <row r="5" spans="1:8">
      <c r="A5" t="s">
        <v>3</v>
      </c>
      <c r="B5">
        <f>Climograma!C38</f>
        <v>9.0500000000000007</v>
      </c>
      <c r="C5">
        <f>Climograma!C39</f>
        <v>18.03</v>
      </c>
      <c r="E5" t="s">
        <v>6</v>
      </c>
      <c r="F5">
        <f>Climograma!F38</f>
        <v>18.03</v>
      </c>
      <c r="G5">
        <f>Climograma!F39</f>
        <v>51.29</v>
      </c>
    </row>
    <row r="6" spans="1:8">
      <c r="A6" t="s">
        <v>4</v>
      </c>
      <c r="B6">
        <f>Climograma!D38</f>
        <v>12.74</v>
      </c>
      <c r="C6">
        <f>Climograma!D39</f>
        <v>22.48</v>
      </c>
      <c r="E6" t="s">
        <v>7</v>
      </c>
      <c r="F6">
        <f>Climograma!G38</f>
        <v>22.74</v>
      </c>
      <c r="G6">
        <f>Climograma!G39</f>
        <v>39.67</v>
      </c>
    </row>
    <row r="7" spans="1:8">
      <c r="A7" t="s">
        <v>11</v>
      </c>
      <c r="B7">
        <f>Climograma!K38</f>
        <v>16.93</v>
      </c>
      <c r="C7">
        <f>Climograma!K39</f>
        <v>37.630000000000003</v>
      </c>
      <c r="E7" t="s">
        <v>8</v>
      </c>
      <c r="F7">
        <f>Climograma!H38</f>
        <v>24.49</v>
      </c>
      <c r="G7">
        <f>Climograma!H39</f>
        <v>30.65</v>
      </c>
    </row>
    <row r="8" spans="1:8">
      <c r="A8" t="s">
        <v>12</v>
      </c>
      <c r="B8">
        <f>Climograma!L38</f>
        <v>11.08</v>
      </c>
      <c r="C8">
        <f>Climograma!L39</f>
        <v>28.67</v>
      </c>
      <c r="E8" t="s">
        <v>9</v>
      </c>
      <c r="F8">
        <f>Climograma!I38</f>
        <v>24.73</v>
      </c>
      <c r="G8">
        <f>Climograma!I39</f>
        <v>20.8</v>
      </c>
    </row>
    <row r="9" spans="1:8">
      <c r="A9" t="s">
        <v>13</v>
      </c>
      <c r="B9">
        <f>Climograma!M38</f>
        <v>8.6999999999999993</v>
      </c>
      <c r="C9">
        <f>Climograma!M39</f>
        <v>30.87</v>
      </c>
      <c r="E9" t="s">
        <v>10</v>
      </c>
      <c r="F9">
        <f>Climograma!J38</f>
        <v>20.239999999999998</v>
      </c>
      <c r="G9">
        <f>Climograma!J39</f>
        <v>32.6</v>
      </c>
    </row>
    <row r="10" spans="1:8">
      <c r="A10" t="s">
        <v>16</v>
      </c>
      <c r="B10">
        <f>MIN(B4:B9)</f>
        <v>8.23</v>
      </c>
      <c r="C10">
        <f>MIN(C4:C9)</f>
        <v>18.03</v>
      </c>
      <c r="F10">
        <f>MIN(F4:F9)</f>
        <v>14.23</v>
      </c>
      <c r="G10">
        <f>MIN(G4:G9)</f>
        <v>20.8</v>
      </c>
    </row>
    <row r="11" spans="1:8">
      <c r="A11" t="s">
        <v>17</v>
      </c>
      <c r="B11">
        <f>MAX(B4:B9)</f>
        <v>16.93</v>
      </c>
      <c r="C11">
        <f>MAX(C4:C9)</f>
        <v>37.630000000000003</v>
      </c>
      <c r="F11">
        <f>MAX(F4:F9)</f>
        <v>24.73</v>
      </c>
      <c r="G11">
        <f>MAX(G4:G9)</f>
        <v>51.29</v>
      </c>
    </row>
    <row r="13" spans="1:8">
      <c r="A13" t="s">
        <v>26</v>
      </c>
      <c r="B13">
        <f>IF(Climograma!N2="S",F10,B10)</f>
        <v>8.23</v>
      </c>
      <c r="C13">
        <f>IF(Climograma!N2="S",G10,C10)</f>
        <v>18.03</v>
      </c>
      <c r="E13" t="s">
        <v>28</v>
      </c>
      <c r="F13">
        <f>IF(Climograma!N2="S",B10,F10)</f>
        <v>14.23</v>
      </c>
      <c r="G13">
        <f>IF(Climograma!N2="S",C10,G10)</f>
        <v>20.8</v>
      </c>
    </row>
    <row r="14" spans="1:8">
      <c r="A14" t="s">
        <v>27</v>
      </c>
      <c r="B14">
        <f>IF(Climograma!N2="S",F11,B11)</f>
        <v>16.93</v>
      </c>
      <c r="C14">
        <f>IF(Climograma!N2="S",G11,C11)</f>
        <v>37.630000000000003</v>
      </c>
      <c r="E14" t="s">
        <v>29</v>
      </c>
      <c r="F14">
        <f>IF(Climograma!N2="S",B11,F11)</f>
        <v>24.73</v>
      </c>
      <c r="G14">
        <f>IF(Climograma!N2="S",C11,G11)</f>
        <v>51.29</v>
      </c>
    </row>
    <row r="15" spans="1:8">
      <c r="A15" t="s">
        <v>101</v>
      </c>
      <c r="B15">
        <f>MAX(Climograma!B38:M38)</f>
        <v>24.73</v>
      </c>
      <c r="C15" t="s">
        <v>102</v>
      </c>
      <c r="D15">
        <f>MIN(Climograma!B38:M38)</f>
        <v>8.23</v>
      </c>
      <c r="E15" t="s">
        <v>103</v>
      </c>
      <c r="F15">
        <f>AVERAGE(Climograma!B38:M38)</f>
        <v>15.932499999999999</v>
      </c>
      <c r="G15" t="s">
        <v>104</v>
      </c>
      <c r="H15">
        <f>B15-D15</f>
        <v>16.5</v>
      </c>
    </row>
    <row r="16" spans="1:8">
      <c r="A16" t="s">
        <v>105</v>
      </c>
      <c r="B16">
        <f>SUM(Climograma!B39:M39)</f>
        <v>396.86</v>
      </c>
      <c r="C16" t="s">
        <v>106</v>
      </c>
      <c r="D16">
        <f>AVERAGE(Climograma!B39:M39)</f>
        <v>33.071666666666665</v>
      </c>
    </row>
    <row r="17" spans="1:8">
      <c r="A17" t="s">
        <v>115</v>
      </c>
      <c r="E17" t="s">
        <v>46</v>
      </c>
    </row>
    <row r="18" spans="1:8">
      <c r="A18" t="s">
        <v>18</v>
      </c>
      <c r="C18" s="5" t="str">
        <f>IF($G$13&lt;($C$14/3),"s",IF($G$14&gt;10*$C$13,IF($G$14&gt;(10-(D16/25)),"m",),"f"))</f>
        <v>f</v>
      </c>
      <c r="E18" t="s">
        <v>18</v>
      </c>
      <c r="G18" t="s">
        <v>49</v>
      </c>
      <c r="H18">
        <f>G6+G7+G8</f>
        <v>91.11999999999999</v>
      </c>
    </row>
    <row r="19" spans="1:8">
      <c r="C19" s="5" t="str">
        <f>IF($C$18="w",IF((B16/10)&lt;=F15,"BW",IF((B16/10)&lt;=2*(F15),"BS","")),"")</f>
        <v/>
      </c>
      <c r="G19" t="str">
        <f>IF($H$18&lt;45,"Muy seco",IF($H$18&lt;90,"Seco",IF($H$18&lt;120,"Algo lluvioso",IF($H$18&lt;180,"Lluvioso","Muy lluvioso"))))</f>
        <v>Algo lluvioso</v>
      </c>
    </row>
    <row r="20" spans="1:8">
      <c r="C20" s="5" t="str">
        <f>IF($C$18="f",IF((B16/10)&lt;=F15+7,"BW",IF((B16/10)&lt;=2*(F15+7),"BS","")),"")</f>
        <v>BS</v>
      </c>
    </row>
    <row r="21" spans="1:8">
      <c r="C21" s="5" t="str">
        <f>IF($C$18="s",IF((B16/10)&lt;=F15+14,"BW",IF((B16/10)&lt;=2*(F15+14),"BS","")),"")</f>
        <v/>
      </c>
      <c r="E21" s="3" t="s">
        <v>107</v>
      </c>
      <c r="F21">
        <f>Climograma!J2+Climograma!L2/60</f>
        <v>41.466666666666669</v>
      </c>
    </row>
    <row r="22" spans="1:8">
      <c r="A22" t="s">
        <v>19</v>
      </c>
      <c r="B22" t="str">
        <f>IF($C$18="s",IF(#REF!&lt;=2*#REF!,"BS",IF(#REF!&lt;=#REF!,"BW","")),"")</f>
        <v/>
      </c>
      <c r="C22" s="4" t="str">
        <f>IF(C19&lt;&gt;"",C19,IF(C20&lt;&gt;"",C20,IF(C21&lt;&gt;"",C21,"")))</f>
        <v>BS</v>
      </c>
      <c r="E22" s="3"/>
      <c r="F22" s="3"/>
    </row>
    <row r="23" spans="1:8">
      <c r="A23" t="s">
        <v>20</v>
      </c>
      <c r="C23" s="5" t="str">
        <f>IF(D15&gt;18,"A",IF(D15&gt;-3,"C",IF(D15&gt;-3,"C",IF(B15&gt;10,"D",IF(B15&gt;0,"ET","EF")))))</f>
        <v>C</v>
      </c>
      <c r="E23" s="3" t="s">
        <v>110</v>
      </c>
      <c r="F23">
        <f>SIN(RADIANS((F21)))</f>
        <v>0.66218421132789007</v>
      </c>
    </row>
    <row r="24" spans="1:8">
      <c r="A24" t="s">
        <v>22</v>
      </c>
      <c r="C24" s="5" t="str">
        <f>IF($C$25="",IF($C$26="","",$C$26),$C$25)</f>
        <v/>
      </c>
      <c r="E24" s="3"/>
    </row>
    <row r="25" spans="1:8">
      <c r="C25" s="5" t="str">
        <f>IF(D15&gt;10,IF(B15&lt;22,"l",""),"")</f>
        <v/>
      </c>
      <c r="E25" t="s">
        <v>51</v>
      </c>
      <c r="F25">
        <f>1.7*(H15/F23)-20.4</f>
        <v>21.959813961361029</v>
      </c>
    </row>
    <row r="26" spans="1:8">
      <c r="C26" s="5" t="str">
        <f>IF(B15-D15&lt;=5,"i","")</f>
        <v/>
      </c>
    </row>
    <row r="27" spans="1:8">
      <c r="A27" t="s">
        <v>23</v>
      </c>
      <c r="C27" s="5" t="str">
        <f>IF(B15&gt;22,"a",IF(D15&lt;-38,"d",IF(SMALL(Climograma!B38:M38,5)&gt;10,"b","c")))</f>
        <v>a</v>
      </c>
      <c r="E27" t="s">
        <v>52</v>
      </c>
      <c r="G27" t="str">
        <f>IF(H18&lt;120,"Zona Parda","Zona Verde")</f>
        <v>Zona Parda</v>
      </c>
    </row>
    <row r="28" spans="1:8">
      <c r="C28" s="5" t="str">
        <f>IF($C$23="D",$C$27,IF($C$23="C",$C$27,""))</f>
        <v>a</v>
      </c>
      <c r="F28" t="str">
        <f>IF(F36&lt;&gt;"",F36,F30)</f>
        <v>Continental atenuada</v>
      </c>
    </row>
    <row r="29" spans="1:8">
      <c r="A29" t="s">
        <v>24</v>
      </c>
      <c r="C29" s="5" t="str">
        <f>IF($C$22&lt;&gt;"",IF(F15&gt;18,"h",IF(B15&gt;18,"k","k'")),"")</f>
        <v>k</v>
      </c>
    </row>
    <row r="30" spans="1:8">
      <c r="C30" s="5" t="str">
        <f>IF(C22&lt;&gt;"",C22,C23)</f>
        <v>BS</v>
      </c>
      <c r="E30" t="s">
        <v>114</v>
      </c>
      <c r="F30" t="str">
        <f>IF($F$25&gt;30,"Continental extremada",IF($F$25&gt;20,"Continental atenuada",IF($F$25&gt;10,"Atlántica submarítima","Atlántica marítima")))</f>
        <v>Continental atenuada</v>
      </c>
    </row>
    <row r="31" spans="1:8">
      <c r="C31" s="5" t="str">
        <f>CONCATENATE($C$18,$C$24)</f>
        <v>f</v>
      </c>
      <c r="E31" t="s">
        <v>41</v>
      </c>
    </row>
    <row r="32" spans="1:8">
      <c r="C32" s="5" t="str">
        <f>IF(C22&lt;&gt;"",C29,C28)</f>
        <v>k</v>
      </c>
      <c r="E32" t="s">
        <v>116</v>
      </c>
      <c r="F32">
        <f>C6+G4+G5</f>
        <v>122.03999999999999</v>
      </c>
    </row>
    <row r="33" spans="1:7">
      <c r="A33" t="s">
        <v>21</v>
      </c>
      <c r="C33" s="5" t="str">
        <f>CONCATENATE(C30,C31,C32)</f>
        <v>BSfk</v>
      </c>
      <c r="E33" t="s">
        <v>15</v>
      </c>
      <c r="F33">
        <f>G6+G7+G8</f>
        <v>91.11999999999999</v>
      </c>
    </row>
    <row r="34" spans="1:7">
      <c r="A34" t="s">
        <v>36</v>
      </c>
      <c r="C34" s="5" t="str">
        <f>IF($F$14&gt;=22,"caluroso","fresco")</f>
        <v>caluroso</v>
      </c>
      <c r="E34" t="s">
        <v>117</v>
      </c>
      <c r="F34">
        <f>G9+C7+C8</f>
        <v>98.9</v>
      </c>
    </row>
    <row r="35" spans="1:7">
      <c r="A35" t="s">
        <v>39</v>
      </c>
      <c r="C35" s="5" t="str">
        <f>IF($B$13&gt;=10,"suave",IF($B$13&gt;=6,"moderado","frío"))</f>
        <v>moderado</v>
      </c>
      <c r="E35" t="s">
        <v>14</v>
      </c>
      <c r="F35">
        <f>C9+C4+C5</f>
        <v>84.8</v>
      </c>
    </row>
    <row r="36" spans="1:7">
      <c r="E36" t="s">
        <v>118</v>
      </c>
      <c r="F36" s="5" t="str">
        <f>IF(MAX(F32:F35)=F34,"mediterráneo","")</f>
        <v/>
      </c>
    </row>
    <row r="37" spans="1:7">
      <c r="A37" t="s">
        <v>43</v>
      </c>
      <c r="B37">
        <v>1</v>
      </c>
      <c r="C37" t="str">
        <f>IF(B4*2&gt;C4,A4,"")</f>
        <v/>
      </c>
      <c r="D37" t="s">
        <v>44</v>
      </c>
    </row>
    <row r="38" spans="1:7">
      <c r="B38">
        <v>2</v>
      </c>
      <c r="C38" t="str">
        <f>IF(B5*2&gt;C5,A5,"")</f>
        <v>Feb</v>
      </c>
      <c r="F38" t="str">
        <f>IF(F25&gt;20,"Pirenaica",IF(F25&gt;10,"Submarítima","Marítima"))</f>
        <v>Pirenaica</v>
      </c>
    </row>
    <row r="39" spans="1:7">
      <c r="B39">
        <v>3</v>
      </c>
      <c r="C39" t="str">
        <f>IF(B6*2&gt;C6,A6,"")</f>
        <v>Mar</v>
      </c>
      <c r="E39" t="s">
        <v>119</v>
      </c>
      <c r="G39" t="str">
        <f>IF(H18&lt;120,F28,F38)</f>
        <v>Continental atenuada</v>
      </c>
    </row>
    <row r="40" spans="1:7">
      <c r="B40">
        <v>4</v>
      </c>
      <c r="C40" t="str">
        <f t="shared" ref="C40:C45" si="0">IF(F4*2&gt;G4,E4,"")</f>
        <v/>
      </c>
    </row>
    <row r="41" spans="1:7">
      <c r="B41">
        <v>5</v>
      </c>
      <c r="C41" t="str">
        <f t="shared" si="0"/>
        <v/>
      </c>
    </row>
    <row r="42" spans="1:7">
      <c r="B42">
        <v>6</v>
      </c>
      <c r="C42" t="str">
        <f t="shared" si="0"/>
        <v>Jun</v>
      </c>
    </row>
    <row r="43" spans="1:7">
      <c r="B43">
        <v>7</v>
      </c>
      <c r="C43" t="str">
        <f t="shared" si="0"/>
        <v>Jul</v>
      </c>
    </row>
    <row r="44" spans="1:7">
      <c r="B44">
        <v>8</v>
      </c>
      <c r="C44" t="str">
        <f t="shared" si="0"/>
        <v>Ago</v>
      </c>
    </row>
    <row r="45" spans="1:7">
      <c r="B45">
        <v>9</v>
      </c>
      <c r="C45" t="str">
        <f t="shared" si="0"/>
        <v>Sep</v>
      </c>
    </row>
    <row r="46" spans="1:7">
      <c r="B46">
        <v>10</v>
      </c>
      <c r="C46" t="str">
        <f>IF(B7*2&gt;C7,A7,"")</f>
        <v/>
      </c>
    </row>
    <row r="47" spans="1:7">
      <c r="B47">
        <v>11</v>
      </c>
      <c r="C47" t="str">
        <f>IF(B8*2&gt;C8,A8,"")</f>
        <v/>
      </c>
    </row>
    <row r="48" spans="1:7">
      <c r="B48">
        <v>12</v>
      </c>
      <c r="C48" t="str">
        <f>IF(B9*2&gt;C9,A9,"")</f>
        <v/>
      </c>
    </row>
    <row r="49" spans="1:6">
      <c r="C49" s="5" t="str">
        <f>CONCATENATE(C37,D37,C38,D37,C39,D37,C40,D37,C41,D37,C42,D37,C43,D37,C44,D37,C45,D37,C46,D37,C47,D37,C48)</f>
        <v xml:space="preserve"> Feb Mar   Jun Jul Ago Sep   </v>
      </c>
    </row>
    <row r="51" spans="1:6">
      <c r="A51" t="s">
        <v>48</v>
      </c>
      <c r="B51">
        <f>Climograma!E54</f>
        <v>15.303576593078185</v>
      </c>
      <c r="C51" t="str">
        <f>IF(B51&lt;20,"clima árido","")</f>
        <v>clima árido</v>
      </c>
    </row>
    <row r="52" spans="1:6">
      <c r="A52" t="s">
        <v>100</v>
      </c>
      <c r="B52">
        <f>Climograma!E55</f>
        <v>4.0146399233986791</v>
      </c>
      <c r="C52" t="str">
        <f>IF($B$52&gt;6,"zona subdesértica",IF($B$52&gt;3,"zona subdesértica",IF($B$52&gt;2,"zona semiárida","zona húmeda")))</f>
        <v>zona subdesértica</v>
      </c>
    </row>
    <row r="53" spans="1:6" ht="14.25">
      <c r="E53" s="14"/>
      <c r="F53" s="15"/>
    </row>
    <row r="54" spans="1:6" ht="14.25">
      <c r="E54" s="14"/>
      <c r="F54" s="15"/>
    </row>
    <row r="55" spans="1:6" ht="14.25">
      <c r="E55" s="14"/>
      <c r="F55" s="15"/>
    </row>
    <row r="56" spans="1:6" ht="14.25">
      <c r="E56" s="14"/>
      <c r="F56" s="15"/>
    </row>
  </sheetData>
  <sheetProtection password="DE39" sheet="1" objects="1" scenarios="1" selectLockedCells="1" selectUnlockedCells="1"/>
  <phoneticPr fontId="2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T16" sqref="T16"/>
    </sheetView>
  </sheetViews>
  <sheetFormatPr baseColWidth="10" defaultRowHeight="12.75"/>
  <cols>
    <col min="1" max="1" width="14.85546875" customWidth="1"/>
    <col min="2" max="16" width="6.7109375" customWidth="1"/>
  </cols>
  <sheetData>
    <row r="1" spans="1:13"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</row>
    <row r="2" spans="1:13">
      <c r="A2" t="s">
        <v>53</v>
      </c>
      <c r="B2">
        <v>8.23</v>
      </c>
      <c r="C2">
        <v>9.0500000000000007</v>
      </c>
      <c r="D2">
        <v>12.74</v>
      </c>
      <c r="E2">
        <v>14.23</v>
      </c>
      <c r="F2">
        <v>18.03</v>
      </c>
      <c r="G2">
        <v>22.74</v>
      </c>
      <c r="H2">
        <v>24.49</v>
      </c>
      <c r="I2">
        <v>24.73</v>
      </c>
      <c r="J2">
        <v>20.239999999999998</v>
      </c>
      <c r="K2">
        <v>16.93</v>
      </c>
      <c r="L2">
        <v>11.08</v>
      </c>
      <c r="M2">
        <v>8.6999999999999993</v>
      </c>
    </row>
    <row r="3" spans="1:13">
      <c r="A3" t="s">
        <v>54</v>
      </c>
      <c r="B3">
        <v>18.760000000000002</v>
      </c>
      <c r="C3">
        <v>19.95</v>
      </c>
      <c r="D3">
        <v>26.05</v>
      </c>
      <c r="E3">
        <v>28.05</v>
      </c>
      <c r="F3">
        <v>32.9</v>
      </c>
      <c r="G3">
        <v>36.950000000000003</v>
      </c>
      <c r="H3">
        <v>37.950000000000003</v>
      </c>
      <c r="I3">
        <v>37.299999999999997</v>
      </c>
      <c r="J3">
        <v>32.200000000000003</v>
      </c>
      <c r="K3">
        <v>28.5</v>
      </c>
      <c r="L3">
        <v>22.5</v>
      </c>
      <c r="M3">
        <v>19.149999999999999</v>
      </c>
    </row>
    <row r="4" spans="1:13">
      <c r="A4" t="s">
        <v>58</v>
      </c>
      <c r="B4">
        <v>11.9</v>
      </c>
      <c r="C4">
        <v>13.89</v>
      </c>
      <c r="D4">
        <v>18.16</v>
      </c>
      <c r="E4">
        <v>19.79</v>
      </c>
      <c r="F4">
        <v>23.94</v>
      </c>
      <c r="G4">
        <v>29.51</v>
      </c>
      <c r="H4">
        <v>31.28</v>
      </c>
      <c r="I4">
        <v>31.36</v>
      </c>
      <c r="J4">
        <v>26.4</v>
      </c>
      <c r="K4">
        <v>22.02</v>
      </c>
      <c r="L4">
        <v>16.239999999999998</v>
      </c>
      <c r="M4">
        <v>12.28</v>
      </c>
    </row>
    <row r="5" spans="1:13">
      <c r="A5" t="s">
        <v>55</v>
      </c>
      <c r="B5">
        <v>-1.85</v>
      </c>
      <c r="C5">
        <v>-2.2000000000000002</v>
      </c>
      <c r="D5">
        <v>-0.65</v>
      </c>
      <c r="E5">
        <v>1.9</v>
      </c>
      <c r="F5">
        <v>5.8</v>
      </c>
      <c r="G5">
        <v>9.9</v>
      </c>
      <c r="H5">
        <v>11.2</v>
      </c>
      <c r="I5">
        <v>13</v>
      </c>
      <c r="J5">
        <v>8.1999999999999993</v>
      </c>
      <c r="K5">
        <v>4.8</v>
      </c>
      <c r="L5">
        <v>-0.13</v>
      </c>
      <c r="M5">
        <v>-2.25</v>
      </c>
    </row>
    <row r="6" spans="1:13">
      <c r="A6" t="s">
        <v>59</v>
      </c>
      <c r="B6">
        <v>3.89</v>
      </c>
      <c r="C6">
        <v>3.61</v>
      </c>
      <c r="D6">
        <v>5.67</v>
      </c>
      <c r="E6">
        <v>7.94</v>
      </c>
      <c r="F6">
        <v>11.47</v>
      </c>
      <c r="G6">
        <v>15.32</v>
      </c>
      <c r="H6">
        <v>16.87</v>
      </c>
      <c r="I6">
        <v>17.36</v>
      </c>
      <c r="J6">
        <v>13.42</v>
      </c>
      <c r="K6">
        <v>11.16</v>
      </c>
      <c r="L6">
        <v>6.19</v>
      </c>
      <c r="M6">
        <v>4.45</v>
      </c>
    </row>
    <row r="7" spans="1:13">
      <c r="A7" t="s">
        <v>60</v>
      </c>
      <c r="B7">
        <v>6.3</v>
      </c>
      <c r="C7">
        <v>5.2</v>
      </c>
      <c r="D7">
        <v>2.4</v>
      </c>
      <c r="E7">
        <v>0.2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1.9</v>
      </c>
      <c r="M7">
        <v>6.1</v>
      </c>
    </row>
    <row r="8" spans="1:13">
      <c r="A8" t="s">
        <v>73</v>
      </c>
      <c r="B8">
        <v>35.9</v>
      </c>
      <c r="C8">
        <v>18.03</v>
      </c>
      <c r="D8">
        <v>22.48</v>
      </c>
      <c r="E8">
        <v>48.27</v>
      </c>
      <c r="F8">
        <v>51.29</v>
      </c>
      <c r="G8">
        <v>39.67</v>
      </c>
      <c r="H8">
        <v>30.65</v>
      </c>
      <c r="I8">
        <v>20.8</v>
      </c>
      <c r="J8">
        <v>32.6</v>
      </c>
      <c r="K8">
        <v>37.630000000000003</v>
      </c>
      <c r="L8">
        <v>28.67</v>
      </c>
      <c r="M8">
        <v>30.87</v>
      </c>
    </row>
    <row r="9" spans="1:13">
      <c r="A9" t="s">
        <v>56</v>
      </c>
      <c r="B9">
        <v>11.79</v>
      </c>
      <c r="C9">
        <v>7.47</v>
      </c>
      <c r="D9">
        <v>10.4</v>
      </c>
      <c r="E9">
        <v>21.81</v>
      </c>
      <c r="F9">
        <v>16.32</v>
      </c>
      <c r="G9">
        <v>19.489999999999998</v>
      </c>
      <c r="H9">
        <v>20.75</v>
      </c>
      <c r="I9">
        <v>10.17</v>
      </c>
      <c r="J9">
        <v>13.02</v>
      </c>
      <c r="K9">
        <v>14.63</v>
      </c>
      <c r="L9">
        <v>11.62</v>
      </c>
      <c r="M9">
        <v>12.48</v>
      </c>
    </row>
    <row r="10" spans="1:13">
      <c r="A10" t="s">
        <v>57</v>
      </c>
      <c r="B10">
        <v>12.1</v>
      </c>
      <c r="C10">
        <v>5.8</v>
      </c>
      <c r="D10">
        <v>8.8000000000000007</v>
      </c>
      <c r="E10">
        <v>10.8</v>
      </c>
      <c r="F10">
        <v>13</v>
      </c>
      <c r="G10">
        <v>7.7</v>
      </c>
      <c r="H10">
        <v>6.2</v>
      </c>
      <c r="I10">
        <v>7.8</v>
      </c>
      <c r="J10">
        <v>9.4</v>
      </c>
      <c r="K10">
        <v>10.8</v>
      </c>
      <c r="L10">
        <v>11</v>
      </c>
      <c r="M10">
        <v>11.4</v>
      </c>
    </row>
    <row r="11" spans="1:13">
      <c r="A11" s="5" t="s">
        <v>61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>
      <c r="A12" t="s">
        <v>62</v>
      </c>
      <c r="B12">
        <v>9.8000000000000007</v>
      </c>
      <c r="C12">
        <v>13.6</v>
      </c>
      <c r="D12">
        <v>15.5</v>
      </c>
      <c r="E12">
        <v>10.9</v>
      </c>
      <c r="F12">
        <v>12.6</v>
      </c>
      <c r="G12">
        <v>17.899999999999999</v>
      </c>
      <c r="H12">
        <v>19.3</v>
      </c>
      <c r="I12">
        <v>18</v>
      </c>
      <c r="J12">
        <v>13.6</v>
      </c>
      <c r="K12">
        <v>12.6</v>
      </c>
      <c r="L12">
        <v>9.9</v>
      </c>
      <c r="M12">
        <v>9.8000000000000007</v>
      </c>
    </row>
    <row r="13" spans="1:13">
      <c r="A13" t="s">
        <v>63</v>
      </c>
      <c r="B13">
        <v>13.6</v>
      </c>
      <c r="C13">
        <v>7.8</v>
      </c>
      <c r="D13">
        <v>7.4</v>
      </c>
      <c r="E13">
        <v>8.9</v>
      </c>
      <c r="F13">
        <v>9.4</v>
      </c>
      <c r="G13">
        <v>4.8</v>
      </c>
      <c r="H13">
        <v>3.2</v>
      </c>
      <c r="I13">
        <v>4.9000000000000004</v>
      </c>
      <c r="J13">
        <v>7.1</v>
      </c>
      <c r="K13">
        <v>9.1999999999999993</v>
      </c>
      <c r="L13">
        <v>9.1</v>
      </c>
      <c r="M13">
        <v>12.7</v>
      </c>
    </row>
    <row r="14" spans="1:13">
      <c r="A14" t="s">
        <v>64</v>
      </c>
      <c r="B14">
        <v>7.6</v>
      </c>
      <c r="C14">
        <v>6.9</v>
      </c>
      <c r="D14">
        <v>8.1</v>
      </c>
      <c r="E14">
        <v>10.199999999999999</v>
      </c>
      <c r="F14">
        <v>8</v>
      </c>
      <c r="G14">
        <v>7.3</v>
      </c>
      <c r="H14">
        <v>8.5</v>
      </c>
      <c r="I14">
        <v>8.1</v>
      </c>
      <c r="J14">
        <v>9.3000000000000007</v>
      </c>
      <c r="K14">
        <v>9.1999999999999993</v>
      </c>
      <c r="L14">
        <v>11</v>
      </c>
      <c r="M14">
        <v>8.5</v>
      </c>
    </row>
    <row r="15" spans="1:13">
      <c r="A15" s="5" t="s">
        <v>65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>
      <c r="A16" t="s">
        <v>66</v>
      </c>
      <c r="B16">
        <v>0.9</v>
      </c>
      <c r="C16">
        <v>0.8</v>
      </c>
      <c r="D16">
        <v>0.1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0.1</v>
      </c>
      <c r="M16">
        <v>0.5</v>
      </c>
    </row>
    <row r="17" spans="1:13">
      <c r="A17" t="s">
        <v>67</v>
      </c>
      <c r="B17">
        <v>0.2</v>
      </c>
      <c r="C17">
        <v>0.5</v>
      </c>
      <c r="D17">
        <v>0.2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0.2</v>
      </c>
      <c r="M17">
        <v>0.4</v>
      </c>
    </row>
    <row r="18" spans="1:13">
      <c r="A18" t="s">
        <v>68</v>
      </c>
      <c r="B18">
        <v>0</v>
      </c>
      <c r="C18">
        <v>0.1</v>
      </c>
      <c r="D18">
        <v>0.1</v>
      </c>
      <c r="E18">
        <v>0.1</v>
      </c>
      <c r="F18">
        <v>0.3</v>
      </c>
      <c r="G18">
        <v>0.4</v>
      </c>
      <c r="H18">
        <v>0.2</v>
      </c>
      <c r="I18">
        <v>0.4</v>
      </c>
      <c r="J18">
        <v>0.3</v>
      </c>
      <c r="K18">
        <v>0.1</v>
      </c>
      <c r="L18">
        <v>0.1</v>
      </c>
      <c r="M18">
        <v>0.3</v>
      </c>
    </row>
    <row r="19" spans="1:13">
      <c r="A19" t="s">
        <v>69</v>
      </c>
      <c r="B19">
        <v>0</v>
      </c>
      <c r="C19">
        <v>0.1</v>
      </c>
      <c r="D19">
        <v>0.3</v>
      </c>
      <c r="E19">
        <v>0.5</v>
      </c>
      <c r="F19">
        <v>2.2999999999999998</v>
      </c>
      <c r="G19">
        <v>3.1</v>
      </c>
      <c r="H19">
        <v>3.2</v>
      </c>
      <c r="I19">
        <v>3.9</v>
      </c>
      <c r="J19">
        <v>1.3</v>
      </c>
      <c r="K19">
        <v>0.6</v>
      </c>
      <c r="L19">
        <v>0</v>
      </c>
      <c r="M19">
        <v>0</v>
      </c>
    </row>
    <row r="20" spans="1:13">
      <c r="A20" t="s">
        <v>70</v>
      </c>
      <c r="B20">
        <v>2.4</v>
      </c>
      <c r="C20">
        <v>1.5</v>
      </c>
      <c r="D20">
        <v>0</v>
      </c>
      <c r="E20">
        <v>0.1</v>
      </c>
      <c r="F20">
        <v>0.1</v>
      </c>
      <c r="G20">
        <v>0</v>
      </c>
      <c r="H20">
        <v>0</v>
      </c>
      <c r="I20">
        <v>0</v>
      </c>
      <c r="J20">
        <v>0.2</v>
      </c>
      <c r="K20">
        <v>0.6</v>
      </c>
      <c r="L20">
        <v>0.9</v>
      </c>
      <c r="M20">
        <v>1.5</v>
      </c>
    </row>
    <row r="21" spans="1:13">
      <c r="A21" t="s">
        <v>71</v>
      </c>
      <c r="B21">
        <v>2.8</v>
      </c>
      <c r="C21">
        <v>5.3</v>
      </c>
      <c r="D21">
        <v>12.4</v>
      </c>
      <c r="E21">
        <v>14.3</v>
      </c>
      <c r="F21">
        <v>18.600000000000001</v>
      </c>
      <c r="G21">
        <v>20.2</v>
      </c>
      <c r="H21">
        <v>24.1</v>
      </c>
      <c r="I21">
        <v>23.1</v>
      </c>
      <c r="J21">
        <v>23.5</v>
      </c>
      <c r="K21">
        <v>23.6</v>
      </c>
      <c r="L21">
        <v>9.1999999999999993</v>
      </c>
      <c r="M21">
        <v>4.4000000000000004</v>
      </c>
    </row>
    <row r="22" spans="1:13">
      <c r="A22" t="s">
        <v>72</v>
      </c>
      <c r="B22">
        <v>7.6</v>
      </c>
      <c r="C22">
        <v>7.5</v>
      </c>
      <c r="D22">
        <v>4.4000000000000004</v>
      </c>
      <c r="E22">
        <v>1</v>
      </c>
      <c r="F22">
        <v>0</v>
      </c>
      <c r="G22">
        <v>0</v>
      </c>
      <c r="H22">
        <v>0</v>
      </c>
      <c r="I22">
        <v>0</v>
      </c>
      <c r="J22">
        <v>0</v>
      </c>
      <c r="K22">
        <v>0.3</v>
      </c>
      <c r="L22">
        <v>3.8</v>
      </c>
      <c r="M22">
        <v>6.7</v>
      </c>
    </row>
  </sheetData>
  <phoneticPr fontId="2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workbookViewId="0">
      <selection activeCell="C3" sqref="C3"/>
    </sheetView>
  </sheetViews>
  <sheetFormatPr baseColWidth="10" defaultRowHeight="12.75"/>
  <cols>
    <col min="1" max="1" width="11" customWidth="1"/>
  </cols>
  <sheetData>
    <row r="1" spans="1:3">
      <c r="A1" s="6" t="s">
        <v>75</v>
      </c>
      <c r="B1" s="16"/>
    </row>
    <row r="2" spans="1:3">
      <c r="A2" s="7" t="s">
        <v>76</v>
      </c>
    </row>
    <row r="3" spans="1:3">
      <c r="A3" s="13">
        <v>41766</v>
      </c>
      <c r="B3" s="19">
        <v>0.76600000000000001</v>
      </c>
      <c r="C3" s="19">
        <f>B3*60</f>
        <v>45.96</v>
      </c>
    </row>
    <row r="4" spans="1:3">
      <c r="A4" s="7" t="s">
        <v>77</v>
      </c>
      <c r="C4" s="19">
        <f t="shared" ref="C4:C43" si="0">B4*60</f>
        <v>0</v>
      </c>
    </row>
    <row r="5" spans="1:3">
      <c r="A5" s="10">
        <v>41333</v>
      </c>
      <c r="B5">
        <v>0.33300000000000002</v>
      </c>
      <c r="C5" s="19">
        <f t="shared" si="0"/>
        <v>19.98</v>
      </c>
    </row>
    <row r="6" spans="1:3">
      <c r="A6" s="7" t="s">
        <v>78</v>
      </c>
      <c r="C6" s="19">
        <f t="shared" si="0"/>
        <v>0</v>
      </c>
    </row>
    <row r="7" spans="1:3">
      <c r="A7" s="11">
        <v>42583</v>
      </c>
      <c r="B7">
        <v>0.58299999999999996</v>
      </c>
      <c r="C7" s="19">
        <f t="shared" si="0"/>
        <v>34.979999999999997</v>
      </c>
    </row>
    <row r="8" spans="1:3">
      <c r="A8" s="7" t="s">
        <v>79</v>
      </c>
      <c r="C8" s="19">
        <f t="shared" si="0"/>
        <v>0</v>
      </c>
    </row>
    <row r="9" spans="1:3">
      <c r="A9" s="11">
        <v>42133</v>
      </c>
      <c r="B9">
        <v>0.13300000000000001</v>
      </c>
      <c r="C9" s="19">
        <f t="shared" si="0"/>
        <v>7.98</v>
      </c>
    </row>
    <row r="10" spans="1:3">
      <c r="A10" s="7" t="s">
        <v>80</v>
      </c>
      <c r="C10" s="19">
        <f t="shared" si="0"/>
        <v>0</v>
      </c>
    </row>
    <row r="11" spans="1:3">
      <c r="A11" s="11">
        <v>41283</v>
      </c>
      <c r="B11">
        <v>0.28299999999999997</v>
      </c>
      <c r="C11" s="19">
        <f t="shared" si="0"/>
        <v>16.979999999999997</v>
      </c>
    </row>
    <row r="12" spans="1:3">
      <c r="A12" s="7" t="s">
        <v>81</v>
      </c>
      <c r="C12" s="19">
        <f t="shared" si="0"/>
        <v>0</v>
      </c>
    </row>
    <row r="13" spans="1:3">
      <c r="A13" s="11">
        <v>42383</v>
      </c>
      <c r="B13">
        <v>0.38300000000000001</v>
      </c>
      <c r="C13" s="19">
        <f t="shared" si="0"/>
        <v>22.98</v>
      </c>
    </row>
    <row r="14" spans="1:3">
      <c r="A14" s="7" t="s">
        <v>82</v>
      </c>
      <c r="C14" s="19">
        <f t="shared" si="0"/>
        <v>0</v>
      </c>
    </row>
    <row r="15" spans="1:3">
      <c r="A15" s="11">
        <v>41833</v>
      </c>
      <c r="C15" s="19">
        <f t="shared" si="0"/>
        <v>0</v>
      </c>
    </row>
    <row r="16" spans="1:3">
      <c r="A16" s="7" t="s">
        <v>83</v>
      </c>
      <c r="C16" s="19">
        <f t="shared" si="0"/>
        <v>0</v>
      </c>
    </row>
    <row r="17" spans="1:3">
      <c r="A17" s="9">
        <v>41.5</v>
      </c>
      <c r="C17" s="19">
        <f t="shared" si="0"/>
        <v>0</v>
      </c>
    </row>
    <row r="18" spans="1:3">
      <c r="A18" s="7" t="s">
        <v>84</v>
      </c>
      <c r="B18">
        <v>0.35</v>
      </c>
      <c r="C18" s="19">
        <f t="shared" si="0"/>
        <v>21</v>
      </c>
    </row>
    <row r="19" spans="1:3">
      <c r="A19" s="9">
        <v>41.35</v>
      </c>
      <c r="C19" s="19">
        <f t="shared" si="0"/>
        <v>0</v>
      </c>
    </row>
    <row r="20" spans="1:3">
      <c r="A20" s="7" t="s">
        <v>85</v>
      </c>
      <c r="C20" s="19">
        <f t="shared" si="0"/>
        <v>0</v>
      </c>
    </row>
    <row r="21" spans="1:3">
      <c r="A21" s="9">
        <v>41.35</v>
      </c>
      <c r="C21" s="19">
        <f t="shared" si="0"/>
        <v>0</v>
      </c>
    </row>
    <row r="22" spans="1:3">
      <c r="A22" s="7" t="s">
        <v>86</v>
      </c>
      <c r="C22" s="19">
        <f t="shared" si="0"/>
        <v>0</v>
      </c>
    </row>
    <row r="23" spans="1:3">
      <c r="A23" s="11">
        <v>41233</v>
      </c>
      <c r="C23" s="19">
        <f t="shared" si="0"/>
        <v>0</v>
      </c>
    </row>
    <row r="24" spans="1:3">
      <c r="A24" s="7" t="s">
        <v>87</v>
      </c>
      <c r="C24" s="19">
        <f t="shared" si="0"/>
        <v>0</v>
      </c>
    </row>
    <row r="25" spans="1:3">
      <c r="A25" s="11">
        <v>41166</v>
      </c>
      <c r="C25" s="19">
        <f t="shared" si="0"/>
        <v>0</v>
      </c>
    </row>
    <row r="26" spans="1:3">
      <c r="A26" s="7" t="s">
        <v>88</v>
      </c>
      <c r="C26" s="19">
        <f t="shared" si="0"/>
        <v>0</v>
      </c>
    </row>
    <row r="27" spans="1:3">
      <c r="A27" s="11">
        <v>41283</v>
      </c>
      <c r="C27" s="19">
        <f t="shared" si="0"/>
        <v>0</v>
      </c>
    </row>
    <row r="28" spans="1:3">
      <c r="A28" s="7" t="s">
        <v>89</v>
      </c>
      <c r="C28" s="19">
        <f t="shared" si="0"/>
        <v>0</v>
      </c>
    </row>
    <row r="29" spans="1:3">
      <c r="A29" s="11">
        <v>42083</v>
      </c>
      <c r="C29" s="19">
        <f t="shared" si="0"/>
        <v>0</v>
      </c>
    </row>
    <row r="30" spans="1:3">
      <c r="A30" s="7" t="s">
        <v>90</v>
      </c>
      <c r="C30" s="19">
        <f t="shared" si="0"/>
        <v>0</v>
      </c>
    </row>
    <row r="31" spans="1:3">
      <c r="A31" s="11">
        <v>41166</v>
      </c>
      <c r="C31" s="19">
        <f t="shared" si="0"/>
        <v>0</v>
      </c>
    </row>
    <row r="32" spans="1:3">
      <c r="A32" s="7" t="s">
        <v>91</v>
      </c>
      <c r="C32" s="19">
        <f t="shared" si="0"/>
        <v>0</v>
      </c>
    </row>
    <row r="33" spans="1:3">
      <c r="A33" s="11">
        <v>42133</v>
      </c>
      <c r="C33" s="19">
        <f t="shared" si="0"/>
        <v>0</v>
      </c>
    </row>
    <row r="34" spans="1:3">
      <c r="A34" s="7" t="s">
        <v>92</v>
      </c>
      <c r="C34" s="19">
        <f t="shared" si="0"/>
        <v>0</v>
      </c>
    </row>
    <row r="35" spans="1:3">
      <c r="A35" s="11">
        <v>41316</v>
      </c>
      <c r="C35" s="19">
        <f t="shared" si="0"/>
        <v>0</v>
      </c>
    </row>
    <row r="36" spans="1:3">
      <c r="A36" s="7" t="s">
        <v>93</v>
      </c>
      <c r="C36" s="19">
        <f t="shared" si="0"/>
        <v>0</v>
      </c>
    </row>
    <row r="37" spans="1:3">
      <c r="A37" s="9">
        <v>42.1</v>
      </c>
      <c r="C37" s="19">
        <f t="shared" si="0"/>
        <v>0</v>
      </c>
    </row>
    <row r="38" spans="1:3">
      <c r="A38" s="7" t="s">
        <v>94</v>
      </c>
      <c r="C38" s="19">
        <f t="shared" si="0"/>
        <v>0</v>
      </c>
    </row>
    <row r="39" spans="1:3">
      <c r="A39" s="9">
        <v>41.65</v>
      </c>
      <c r="C39" s="19">
        <f t="shared" si="0"/>
        <v>0</v>
      </c>
    </row>
    <row r="40" spans="1:3">
      <c r="A40" s="7" t="s">
        <v>95</v>
      </c>
      <c r="C40" s="19">
        <f t="shared" si="0"/>
        <v>0</v>
      </c>
    </row>
    <row r="41" spans="1:3">
      <c r="A41" s="11">
        <v>41866</v>
      </c>
      <c r="C41" s="19">
        <f t="shared" si="0"/>
        <v>0</v>
      </c>
    </row>
    <row r="42" spans="1:3">
      <c r="A42" s="2" t="s">
        <v>96</v>
      </c>
      <c r="C42" s="19">
        <f t="shared" si="0"/>
        <v>0</v>
      </c>
    </row>
    <row r="43" spans="1:3" ht="13.5" thickBot="1">
      <c r="A43" s="12">
        <v>41466</v>
      </c>
      <c r="B43">
        <v>0.46600000000000003</v>
      </c>
      <c r="C43" s="19">
        <f t="shared" si="0"/>
        <v>27.96</v>
      </c>
    </row>
  </sheetData>
  <phoneticPr fontId="2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workbookViewId="0">
      <selection activeCell="T17" sqref="T17"/>
    </sheetView>
  </sheetViews>
  <sheetFormatPr baseColWidth="10" defaultRowHeight="12.75"/>
  <cols>
    <col min="1" max="1" width="3.42578125" customWidth="1"/>
    <col min="2" max="2" width="11" customWidth="1"/>
    <col min="3" max="3" width="7" customWidth="1"/>
    <col min="4" max="4" width="5.85546875" customWidth="1"/>
    <col min="5" max="5" width="4.42578125" customWidth="1"/>
    <col min="6" max="17" width="5.7109375" customWidth="1"/>
  </cols>
  <sheetData>
    <row r="1" spans="1:20">
      <c r="A1" s="4" t="s">
        <v>74</v>
      </c>
      <c r="B1" s="4" t="s">
        <v>75</v>
      </c>
      <c r="C1" s="4"/>
      <c r="D1" s="4"/>
      <c r="E1" s="4"/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S1" s="18"/>
      <c r="T1" s="18"/>
    </row>
    <row r="2" spans="1:20">
      <c r="A2" s="7">
        <v>1</v>
      </c>
      <c r="B2" s="64" t="s">
        <v>76</v>
      </c>
      <c r="C2" s="65">
        <v>41</v>
      </c>
      <c r="D2" s="66">
        <v>45.96</v>
      </c>
      <c r="E2" s="7" t="s">
        <v>97</v>
      </c>
      <c r="F2" s="7">
        <v>6.1</v>
      </c>
      <c r="G2" s="7">
        <v>7.9</v>
      </c>
      <c r="H2" s="7">
        <v>10</v>
      </c>
      <c r="I2" s="7">
        <v>12.8</v>
      </c>
      <c r="J2" s="7">
        <v>16.8</v>
      </c>
      <c r="K2" s="7">
        <v>21.4</v>
      </c>
      <c r="L2" s="7">
        <v>24.6</v>
      </c>
      <c r="M2" s="7">
        <v>23.8</v>
      </c>
      <c r="N2" s="7">
        <v>20.5</v>
      </c>
      <c r="O2" s="7">
        <v>15.2</v>
      </c>
      <c r="P2" s="7">
        <v>9.5</v>
      </c>
      <c r="Q2" s="7">
        <v>6.6</v>
      </c>
      <c r="S2" s="18"/>
      <c r="T2" s="18"/>
    </row>
    <row r="3" spans="1:20">
      <c r="A3" s="7"/>
      <c r="B3" s="65">
        <v>41766</v>
      </c>
      <c r="C3" s="69"/>
      <c r="D3" s="66"/>
      <c r="E3" s="7" t="s">
        <v>98</v>
      </c>
      <c r="F3" s="7">
        <v>23.2</v>
      </c>
      <c r="G3" s="7">
        <v>29.5</v>
      </c>
      <c r="H3" s="7">
        <v>30.1</v>
      </c>
      <c r="I3" s="7">
        <v>36.200000000000003</v>
      </c>
      <c r="J3" s="7">
        <v>54.9</v>
      </c>
      <c r="K3" s="7">
        <v>37</v>
      </c>
      <c r="L3" s="7">
        <v>22.5</v>
      </c>
      <c r="M3" s="7">
        <v>18</v>
      </c>
      <c r="N3" s="7">
        <v>28</v>
      </c>
      <c r="O3" s="7">
        <v>26.3</v>
      </c>
      <c r="P3" s="7">
        <v>34</v>
      </c>
      <c r="Q3" s="7">
        <v>27</v>
      </c>
      <c r="S3" s="17"/>
      <c r="T3" s="16"/>
    </row>
    <row r="4" spans="1:20">
      <c r="A4" s="7">
        <v>2</v>
      </c>
      <c r="B4" s="64" t="s">
        <v>77</v>
      </c>
      <c r="C4" s="67">
        <v>41</v>
      </c>
      <c r="D4" s="66">
        <v>19.98</v>
      </c>
      <c r="E4" s="7" t="s">
        <v>97</v>
      </c>
      <c r="F4" s="7">
        <v>5.2</v>
      </c>
      <c r="G4" s="7">
        <v>6.7</v>
      </c>
      <c r="H4" s="7">
        <v>8.8000000000000007</v>
      </c>
      <c r="I4" s="7">
        <v>10.8</v>
      </c>
      <c r="J4" s="7">
        <v>14.5</v>
      </c>
      <c r="K4" s="7">
        <v>19.2</v>
      </c>
      <c r="L4" s="7">
        <v>23.1</v>
      </c>
      <c r="M4" s="7">
        <v>22.5</v>
      </c>
      <c r="N4" s="7">
        <v>18.100000000000001</v>
      </c>
      <c r="O4" s="7">
        <v>12.7</v>
      </c>
      <c r="P4" s="7">
        <v>8.4</v>
      </c>
      <c r="Q4" s="7">
        <v>6.3</v>
      </c>
      <c r="S4" s="18"/>
      <c r="T4" s="18"/>
    </row>
    <row r="5" spans="1:20">
      <c r="A5" s="7"/>
      <c r="B5" s="65">
        <v>41333</v>
      </c>
      <c r="C5" s="7"/>
      <c r="D5" s="68"/>
      <c r="E5" s="7" t="s">
        <v>98</v>
      </c>
      <c r="F5" s="7">
        <v>22.7</v>
      </c>
      <c r="G5" s="7">
        <v>23.4</v>
      </c>
      <c r="H5" s="7">
        <v>21.4</v>
      </c>
      <c r="I5" s="7">
        <v>47.9</v>
      </c>
      <c r="J5" s="7">
        <v>57.4</v>
      </c>
      <c r="K5" s="7">
        <v>43.8</v>
      </c>
      <c r="L5" s="7">
        <v>17.2</v>
      </c>
      <c r="M5" s="7">
        <v>21.4</v>
      </c>
      <c r="N5" s="7">
        <v>36</v>
      </c>
      <c r="O5" s="7">
        <v>37</v>
      </c>
      <c r="P5" s="7">
        <v>29.5</v>
      </c>
      <c r="Q5" s="7">
        <v>31.4</v>
      </c>
      <c r="S5" s="18"/>
      <c r="T5" s="18"/>
    </row>
    <row r="6" spans="1:20">
      <c r="A6" s="7">
        <v>3</v>
      </c>
      <c r="B6" s="64" t="s">
        <v>78</v>
      </c>
      <c r="C6" s="64">
        <v>42</v>
      </c>
      <c r="D6" s="66">
        <v>34.979999999999997</v>
      </c>
      <c r="E6" s="7" t="s">
        <v>97</v>
      </c>
      <c r="F6" s="7">
        <v>4.0999999999999996</v>
      </c>
      <c r="G6" s="7">
        <v>5.5</v>
      </c>
      <c r="H6" s="7">
        <v>7.5</v>
      </c>
      <c r="I6" s="7">
        <v>9.6</v>
      </c>
      <c r="J6" s="7">
        <v>13.2</v>
      </c>
      <c r="K6" s="7">
        <v>17.2</v>
      </c>
      <c r="L6" s="7">
        <v>20.8</v>
      </c>
      <c r="M6" s="7">
        <v>20.6</v>
      </c>
      <c r="N6" s="7">
        <v>17</v>
      </c>
      <c r="O6" s="7">
        <v>12.4</v>
      </c>
      <c r="P6" s="7">
        <v>7.6</v>
      </c>
      <c r="Q6" s="7">
        <v>5</v>
      </c>
      <c r="S6" s="18"/>
      <c r="T6" s="18"/>
    </row>
    <row r="7" spans="1:20">
      <c r="A7" s="7"/>
      <c r="B7" s="69">
        <v>42583</v>
      </c>
      <c r="C7" s="64"/>
      <c r="D7" s="66"/>
      <c r="E7" s="7" t="s">
        <v>98</v>
      </c>
      <c r="F7" s="7">
        <v>66.900000000000006</v>
      </c>
      <c r="G7" s="7">
        <v>68.3</v>
      </c>
      <c r="H7" s="7">
        <v>44.8</v>
      </c>
      <c r="I7" s="7">
        <v>57.3</v>
      </c>
      <c r="J7" s="7">
        <v>71.099999999999994</v>
      </c>
      <c r="K7" s="7">
        <v>53.5</v>
      </c>
      <c r="L7" s="7">
        <v>34.700000000000003</v>
      </c>
      <c r="M7" s="7">
        <v>42.2</v>
      </c>
      <c r="N7" s="7">
        <v>58.3</v>
      </c>
      <c r="O7" s="7">
        <v>71.900000000000006</v>
      </c>
      <c r="P7" s="7">
        <v>80.8</v>
      </c>
      <c r="Q7" s="7">
        <v>76.900000000000006</v>
      </c>
      <c r="S7" s="18"/>
      <c r="T7" s="18"/>
    </row>
    <row r="8" spans="1:20">
      <c r="A8" s="7">
        <v>4</v>
      </c>
      <c r="B8" s="64" t="s">
        <v>79</v>
      </c>
      <c r="C8" s="64">
        <v>42</v>
      </c>
      <c r="D8" s="66">
        <v>7.98</v>
      </c>
      <c r="E8" s="7" t="s">
        <v>97</v>
      </c>
      <c r="F8" s="7">
        <v>5.8</v>
      </c>
      <c r="G8" s="7">
        <v>7.5</v>
      </c>
      <c r="H8" s="7">
        <v>9.4</v>
      </c>
      <c r="I8" s="7">
        <v>11.7</v>
      </c>
      <c r="J8" s="7">
        <v>15.6</v>
      </c>
      <c r="K8" s="7">
        <v>19.8</v>
      </c>
      <c r="L8" s="7">
        <v>22.7</v>
      </c>
      <c r="M8" s="7">
        <v>22.5</v>
      </c>
      <c r="N8" s="7">
        <v>19.3</v>
      </c>
      <c r="O8" s="7">
        <v>14.2</v>
      </c>
      <c r="P8" s="7">
        <v>8.6</v>
      </c>
      <c r="Q8" s="7">
        <v>6.3</v>
      </c>
      <c r="S8" s="18"/>
      <c r="T8" s="18"/>
    </row>
    <row r="9" spans="1:20">
      <c r="A9" s="7"/>
      <c r="B9" s="69">
        <v>42133</v>
      </c>
      <c r="C9" s="64"/>
      <c r="D9" s="66"/>
      <c r="E9" s="7" t="s">
        <v>98</v>
      </c>
      <c r="F9" s="7">
        <v>39.299999999999997</v>
      </c>
      <c r="G9" s="7">
        <v>40.200000000000003</v>
      </c>
      <c r="H9" s="7">
        <v>32.9</v>
      </c>
      <c r="I9" s="7">
        <v>38.299999999999997</v>
      </c>
      <c r="J9" s="7">
        <v>55.6</v>
      </c>
      <c r="K9" s="7">
        <v>42.8</v>
      </c>
      <c r="L9" s="7">
        <v>23.6</v>
      </c>
      <c r="M9" s="7">
        <v>31.8</v>
      </c>
      <c r="N9" s="7">
        <v>35.299999999999997</v>
      </c>
      <c r="O9" s="7">
        <v>39.9</v>
      </c>
      <c r="P9" s="7">
        <v>37.4</v>
      </c>
      <c r="Q9" s="7">
        <v>44.7</v>
      </c>
      <c r="S9" s="18"/>
      <c r="T9" s="18"/>
    </row>
    <row r="10" spans="1:20">
      <c r="A10" s="7">
        <v>5</v>
      </c>
      <c r="B10" s="64" t="s">
        <v>80</v>
      </c>
      <c r="C10" s="64">
        <v>41</v>
      </c>
      <c r="D10" s="66">
        <v>16.98</v>
      </c>
      <c r="E10" s="7" t="s">
        <v>97</v>
      </c>
      <c r="F10" s="7">
        <v>7.5</v>
      </c>
      <c r="G10" s="7">
        <v>8.6999999999999993</v>
      </c>
      <c r="H10" s="7">
        <v>10.5</v>
      </c>
      <c r="I10" s="7">
        <v>13.4</v>
      </c>
      <c r="J10" s="7">
        <v>16.2</v>
      </c>
      <c r="K10" s="7">
        <v>20.8</v>
      </c>
      <c r="L10" s="7">
        <v>24.5</v>
      </c>
      <c r="M10" s="7">
        <v>23.7</v>
      </c>
      <c r="N10" s="7">
        <v>20.3</v>
      </c>
      <c r="O10" s="7">
        <v>16.600000000000001</v>
      </c>
      <c r="P10" s="7">
        <v>10.6</v>
      </c>
      <c r="Q10" s="7">
        <v>8.1</v>
      </c>
      <c r="S10" s="18"/>
      <c r="T10" s="18"/>
    </row>
    <row r="11" spans="1:20">
      <c r="A11" s="7"/>
      <c r="B11" s="69">
        <v>41283</v>
      </c>
      <c r="C11" s="7"/>
      <c r="D11" s="68"/>
      <c r="E11" s="7" t="s">
        <v>98</v>
      </c>
      <c r="F11" s="7">
        <v>19.5</v>
      </c>
      <c r="G11" s="7">
        <v>14.6</v>
      </c>
      <c r="H11" s="7">
        <v>27.8</v>
      </c>
      <c r="I11" s="7">
        <v>23.5</v>
      </c>
      <c r="J11" s="7">
        <v>39.799999999999997</v>
      </c>
      <c r="K11" s="7">
        <v>40.299999999999997</v>
      </c>
      <c r="L11" s="7">
        <v>13.6</v>
      </c>
      <c r="M11" s="7">
        <v>21.9</v>
      </c>
      <c r="N11" s="7">
        <v>43.2</v>
      </c>
      <c r="O11" s="7">
        <v>20</v>
      </c>
      <c r="P11" s="7">
        <v>24.2</v>
      </c>
      <c r="Q11" s="7">
        <v>25.4</v>
      </c>
      <c r="S11" s="18"/>
      <c r="T11" s="18"/>
    </row>
    <row r="12" spans="1:20">
      <c r="A12" s="7">
        <v>6</v>
      </c>
      <c r="B12" s="64" t="s">
        <v>81</v>
      </c>
      <c r="C12" s="64">
        <v>42</v>
      </c>
      <c r="D12" s="66">
        <v>22.98</v>
      </c>
      <c r="E12" s="7" t="s">
        <v>97</v>
      </c>
      <c r="F12" s="7">
        <v>3.9</v>
      </c>
      <c r="G12" s="7">
        <v>5.0999999999999996</v>
      </c>
      <c r="H12" s="7">
        <v>7.4</v>
      </c>
      <c r="I12" s="7">
        <v>9.3000000000000007</v>
      </c>
      <c r="J12" s="7">
        <v>13.1</v>
      </c>
      <c r="K12" s="7">
        <v>17.3</v>
      </c>
      <c r="L12" s="7">
        <v>21.2</v>
      </c>
      <c r="M12" s="7">
        <v>20.8</v>
      </c>
      <c r="N12" s="7">
        <v>17.100000000000001</v>
      </c>
      <c r="O12" s="7">
        <v>12</v>
      </c>
      <c r="P12" s="7">
        <v>7.4</v>
      </c>
      <c r="Q12" s="7">
        <v>4.8</v>
      </c>
      <c r="S12" s="18"/>
      <c r="T12" s="18"/>
    </row>
    <row r="13" spans="1:20">
      <c r="A13" s="7"/>
      <c r="B13" s="69">
        <v>42383</v>
      </c>
      <c r="C13" s="64"/>
      <c r="D13" s="66"/>
      <c r="E13" s="7" t="s">
        <v>98</v>
      </c>
      <c r="F13" s="7">
        <v>85.2</v>
      </c>
      <c r="G13" s="7">
        <v>75</v>
      </c>
      <c r="H13" s="7">
        <v>59.5</v>
      </c>
      <c r="I13" s="7">
        <v>89.4</v>
      </c>
      <c r="J13" s="7">
        <v>86.9</v>
      </c>
      <c r="K13" s="7">
        <v>67</v>
      </c>
      <c r="L13" s="7">
        <v>33.700000000000003</v>
      </c>
      <c r="M13" s="7">
        <v>40.4</v>
      </c>
      <c r="N13" s="7">
        <v>61.9</v>
      </c>
      <c r="O13" s="7">
        <v>93.3</v>
      </c>
      <c r="P13" s="7">
        <v>98.9</v>
      </c>
      <c r="Q13" s="7">
        <v>107.1</v>
      </c>
      <c r="S13" s="18"/>
      <c r="T13" s="18"/>
    </row>
    <row r="14" spans="1:20">
      <c r="A14" s="7">
        <v>7</v>
      </c>
      <c r="B14" s="64" t="s">
        <v>82</v>
      </c>
      <c r="C14" s="64">
        <v>41</v>
      </c>
      <c r="D14" s="66">
        <v>49.98</v>
      </c>
      <c r="E14" s="7" t="s">
        <v>97</v>
      </c>
      <c r="F14" s="7">
        <v>6.2</v>
      </c>
      <c r="G14" s="7">
        <v>8.1999999999999993</v>
      </c>
      <c r="H14" s="7">
        <v>10.7</v>
      </c>
      <c r="I14" s="7">
        <v>12.6</v>
      </c>
      <c r="J14" s="7">
        <v>16.600000000000001</v>
      </c>
      <c r="K14" s="7">
        <v>20.6</v>
      </c>
      <c r="L14" s="7">
        <v>24.2</v>
      </c>
      <c r="M14" s="7">
        <v>23.8</v>
      </c>
      <c r="N14" s="7">
        <v>20.100000000000001</v>
      </c>
      <c r="O14" s="7">
        <v>15.1</v>
      </c>
      <c r="P14" s="7">
        <v>10.4</v>
      </c>
      <c r="Q14" s="7">
        <v>7.3</v>
      </c>
      <c r="S14" s="18"/>
      <c r="T14" s="18"/>
    </row>
    <row r="15" spans="1:20">
      <c r="A15" s="7"/>
      <c r="B15" s="69">
        <v>41833</v>
      </c>
      <c r="C15" s="64"/>
      <c r="D15" s="66"/>
      <c r="E15" s="7" t="s">
        <v>98</v>
      </c>
      <c r="F15" s="7">
        <v>23.2</v>
      </c>
      <c r="G15" s="7">
        <v>22.6</v>
      </c>
      <c r="H15" s="7">
        <v>23.2</v>
      </c>
      <c r="I15" s="7">
        <v>47</v>
      </c>
      <c r="J15" s="7">
        <v>45.2</v>
      </c>
      <c r="K15" s="7">
        <v>33.299999999999997</v>
      </c>
      <c r="L15" s="7">
        <v>16.899999999999999</v>
      </c>
      <c r="M15" s="7">
        <v>29.8</v>
      </c>
      <c r="N15" s="7">
        <v>38.200000000000003</v>
      </c>
      <c r="O15" s="7">
        <v>40.5</v>
      </c>
      <c r="P15" s="7">
        <v>34.6</v>
      </c>
      <c r="Q15" s="7">
        <v>29.9</v>
      </c>
      <c r="S15" s="18"/>
      <c r="T15" s="18"/>
    </row>
    <row r="16" spans="1:20">
      <c r="A16" s="7">
        <v>8</v>
      </c>
      <c r="B16" s="64" t="s">
        <v>83</v>
      </c>
      <c r="C16" s="64">
        <v>41</v>
      </c>
      <c r="D16" s="66">
        <v>30</v>
      </c>
      <c r="E16" s="7" t="s">
        <v>97</v>
      </c>
      <c r="F16" s="7">
        <v>4.3</v>
      </c>
      <c r="G16" s="7">
        <v>7.2</v>
      </c>
      <c r="H16" s="7">
        <v>9.1</v>
      </c>
      <c r="I16" s="7">
        <v>11.7</v>
      </c>
      <c r="J16" s="7">
        <v>16.2</v>
      </c>
      <c r="K16" s="7">
        <v>20.399999999999999</v>
      </c>
      <c r="L16" s="7">
        <v>25.4</v>
      </c>
      <c r="M16" s="7">
        <v>25.6</v>
      </c>
      <c r="N16" s="7">
        <v>22</v>
      </c>
      <c r="O16" s="7">
        <v>14.2</v>
      </c>
      <c r="P16" s="7">
        <v>8.8000000000000007</v>
      </c>
      <c r="Q16" s="7">
        <v>6.2</v>
      </c>
      <c r="S16" s="18"/>
      <c r="T16" s="18"/>
    </row>
    <row r="17" spans="1:20">
      <c r="A17" s="7"/>
      <c r="B17" s="67">
        <v>41.5</v>
      </c>
      <c r="C17" s="67"/>
      <c r="D17" s="66"/>
      <c r="E17" s="7" t="s">
        <v>98</v>
      </c>
      <c r="F17" s="7">
        <v>29.7</v>
      </c>
      <c r="G17" s="7">
        <v>14.5</v>
      </c>
      <c r="H17" s="7">
        <v>32.799999999999997</v>
      </c>
      <c r="I17" s="7">
        <v>34.799999999999997</v>
      </c>
      <c r="J17" s="7">
        <v>57.5</v>
      </c>
      <c r="K17" s="7">
        <v>40.4</v>
      </c>
      <c r="L17" s="7">
        <v>15.8</v>
      </c>
      <c r="M17" s="7">
        <v>28.1</v>
      </c>
      <c r="N17" s="7">
        <v>40.6</v>
      </c>
      <c r="O17" s="7">
        <v>24.1</v>
      </c>
      <c r="P17" s="7">
        <v>15.6</v>
      </c>
      <c r="Q17" s="7">
        <v>35.700000000000003</v>
      </c>
      <c r="S17" s="18"/>
      <c r="T17" s="18"/>
    </row>
    <row r="18" spans="1:20">
      <c r="A18" s="7">
        <v>9</v>
      </c>
      <c r="B18" s="64" t="s">
        <v>84</v>
      </c>
      <c r="C18" s="64">
        <v>41</v>
      </c>
      <c r="D18" s="66">
        <v>21</v>
      </c>
      <c r="E18" s="7" t="s">
        <v>97</v>
      </c>
      <c r="F18" s="7">
        <v>4.7</v>
      </c>
      <c r="G18" s="7">
        <v>6.6</v>
      </c>
      <c r="H18" s="7">
        <v>9</v>
      </c>
      <c r="I18" s="7">
        <v>10.8</v>
      </c>
      <c r="J18" s="7">
        <v>14.3</v>
      </c>
      <c r="K18" s="7">
        <v>19.2</v>
      </c>
      <c r="L18" s="7">
        <v>22.6</v>
      </c>
      <c r="M18" s="7">
        <v>22.2</v>
      </c>
      <c r="N18" s="7">
        <v>18.399999999999999</v>
      </c>
      <c r="O18" s="7">
        <v>13.3</v>
      </c>
      <c r="P18" s="7">
        <v>8.5</v>
      </c>
      <c r="Q18" s="7">
        <v>5.7</v>
      </c>
      <c r="S18" s="18"/>
      <c r="T18" s="18"/>
    </row>
    <row r="19" spans="1:20">
      <c r="A19" s="7"/>
      <c r="B19" s="67">
        <v>41.35</v>
      </c>
      <c r="C19" s="67"/>
      <c r="D19" s="66"/>
      <c r="E19" s="7" t="s">
        <v>98</v>
      </c>
      <c r="F19" s="7">
        <v>18.7</v>
      </c>
      <c r="G19" s="7">
        <v>19.2</v>
      </c>
      <c r="H19" s="7">
        <v>20.100000000000001</v>
      </c>
      <c r="I19" s="7">
        <v>34.700000000000003</v>
      </c>
      <c r="J19" s="7">
        <v>56.4</v>
      </c>
      <c r="K19" s="7">
        <v>38</v>
      </c>
      <c r="L19" s="7">
        <v>19.7</v>
      </c>
      <c r="M19" s="7">
        <v>19.899999999999999</v>
      </c>
      <c r="N19" s="7">
        <v>29.4</v>
      </c>
      <c r="O19" s="7">
        <v>27.6</v>
      </c>
      <c r="P19" s="7">
        <v>24.1</v>
      </c>
      <c r="Q19" s="7">
        <v>23.9</v>
      </c>
      <c r="S19" s="18"/>
      <c r="T19" s="18"/>
    </row>
    <row r="20" spans="1:20">
      <c r="A20" s="7">
        <v>10</v>
      </c>
      <c r="B20" s="64" t="s">
        <v>85</v>
      </c>
      <c r="C20" s="64">
        <v>41</v>
      </c>
      <c r="D20" s="66">
        <v>21</v>
      </c>
      <c r="E20" s="7" t="s">
        <v>97</v>
      </c>
      <c r="F20" s="7">
        <v>5.9</v>
      </c>
      <c r="G20" s="7">
        <v>7.7</v>
      </c>
      <c r="H20" s="7">
        <v>9.8000000000000007</v>
      </c>
      <c r="I20" s="7">
        <v>11.9</v>
      </c>
      <c r="J20" s="7">
        <v>16</v>
      </c>
      <c r="K20" s="7">
        <v>20.399999999999999</v>
      </c>
      <c r="L20" s="7">
        <v>24.1</v>
      </c>
      <c r="M20" s="7">
        <v>23.7</v>
      </c>
      <c r="N20" s="7">
        <v>20.2</v>
      </c>
      <c r="O20" s="7">
        <v>14.6</v>
      </c>
      <c r="P20" s="7">
        <v>9.6</v>
      </c>
      <c r="Q20" s="7">
        <v>6.9</v>
      </c>
      <c r="S20" s="18"/>
      <c r="T20" s="18"/>
    </row>
    <row r="21" spans="1:20">
      <c r="A21" s="7"/>
      <c r="B21" s="67">
        <v>41.35</v>
      </c>
      <c r="C21" s="67"/>
      <c r="D21" s="66"/>
      <c r="E21" s="7" t="s">
        <v>98</v>
      </c>
      <c r="F21" s="7">
        <v>20.3</v>
      </c>
      <c r="G21" s="7">
        <v>25.3</v>
      </c>
      <c r="H21" s="7">
        <v>31</v>
      </c>
      <c r="I21" s="7">
        <v>50.3</v>
      </c>
      <c r="J21" s="7">
        <v>61.9</v>
      </c>
      <c r="K21" s="7">
        <v>48.4</v>
      </c>
      <c r="L21" s="7">
        <v>21.2</v>
      </c>
      <c r="M21" s="7">
        <v>26.4</v>
      </c>
      <c r="N21" s="7">
        <v>34.700000000000003</v>
      </c>
      <c r="O21" s="7">
        <v>40.5</v>
      </c>
      <c r="P21" s="7">
        <v>34</v>
      </c>
      <c r="Q21" s="7">
        <v>28.8</v>
      </c>
      <c r="S21" s="18"/>
      <c r="T21" s="18"/>
    </row>
    <row r="22" spans="1:20">
      <c r="A22" s="7">
        <v>11</v>
      </c>
      <c r="B22" s="64" t="s">
        <v>86</v>
      </c>
      <c r="C22" s="64">
        <v>41</v>
      </c>
      <c r="D22" s="66">
        <v>13.98</v>
      </c>
      <c r="E22" s="7" t="s">
        <v>97</v>
      </c>
      <c r="F22" s="7">
        <v>6.5</v>
      </c>
      <c r="G22" s="7">
        <v>8.5</v>
      </c>
      <c r="H22" s="7">
        <v>11.8</v>
      </c>
      <c r="I22" s="7">
        <v>14.2</v>
      </c>
      <c r="J22" s="7">
        <v>18.3</v>
      </c>
      <c r="K22" s="7">
        <v>22.5</v>
      </c>
      <c r="L22" s="7">
        <v>26.5</v>
      </c>
      <c r="M22" s="7">
        <v>25.9</v>
      </c>
      <c r="N22" s="8">
        <v>21.8</v>
      </c>
      <c r="O22" s="7">
        <v>16.2</v>
      </c>
      <c r="P22" s="7">
        <v>11.2</v>
      </c>
      <c r="Q22" s="7">
        <v>7.2</v>
      </c>
      <c r="S22" s="18"/>
      <c r="T22" s="18"/>
    </row>
    <row r="23" spans="1:20">
      <c r="A23" s="7"/>
      <c r="B23" s="69">
        <v>41233</v>
      </c>
      <c r="C23" s="64"/>
      <c r="D23" s="66"/>
      <c r="E23" s="7" t="s">
        <v>98</v>
      </c>
      <c r="F23" s="7">
        <v>19.600000000000001</v>
      </c>
      <c r="G23" s="7">
        <v>16.5</v>
      </c>
      <c r="H23" s="7">
        <v>13</v>
      </c>
      <c r="I23" s="7">
        <v>24</v>
      </c>
      <c r="J23" s="7">
        <v>36.200000000000003</v>
      </c>
      <c r="K23" s="7">
        <v>29.2</v>
      </c>
      <c r="L23" s="7">
        <v>8.8000000000000007</v>
      </c>
      <c r="M23" s="7">
        <v>17.2</v>
      </c>
      <c r="N23" s="7">
        <v>40.799999999999997</v>
      </c>
      <c r="O23" s="7">
        <v>47.6</v>
      </c>
      <c r="P23" s="7">
        <v>36.799999999999997</v>
      </c>
      <c r="Q23" s="7">
        <v>23.2</v>
      </c>
      <c r="S23" s="18"/>
      <c r="T23" s="18"/>
    </row>
    <row r="24" spans="1:20">
      <c r="A24" s="7">
        <v>12</v>
      </c>
      <c r="B24" s="64" t="s">
        <v>87</v>
      </c>
      <c r="C24" s="64">
        <v>41</v>
      </c>
      <c r="D24" s="66">
        <v>6.96</v>
      </c>
      <c r="E24" s="7" t="s">
        <v>97</v>
      </c>
      <c r="F24" s="7">
        <v>4.2</v>
      </c>
      <c r="G24" s="7">
        <v>5.7</v>
      </c>
      <c r="H24" s="7">
        <v>7.8</v>
      </c>
      <c r="I24" s="7">
        <v>9.9</v>
      </c>
      <c r="J24" s="7">
        <v>13.8</v>
      </c>
      <c r="K24" s="7">
        <v>18.3</v>
      </c>
      <c r="L24" s="7">
        <v>22.2</v>
      </c>
      <c r="M24" s="7">
        <v>22</v>
      </c>
      <c r="N24" s="7">
        <v>18</v>
      </c>
      <c r="O24" s="7">
        <v>12.9</v>
      </c>
      <c r="P24" s="7">
        <v>7.9</v>
      </c>
      <c r="Q24" s="7">
        <v>5.3</v>
      </c>
      <c r="S24" s="18"/>
      <c r="T24" s="18"/>
    </row>
    <row r="25" spans="1:20">
      <c r="A25" s="7"/>
      <c r="B25" s="69">
        <v>41166</v>
      </c>
      <c r="C25" s="64"/>
      <c r="D25" s="66"/>
      <c r="E25" s="7" t="s">
        <v>98</v>
      </c>
      <c r="F25" s="7">
        <v>23</v>
      </c>
      <c r="G25" s="7">
        <v>23</v>
      </c>
      <c r="H25" s="7">
        <v>29.4</v>
      </c>
      <c r="I25" s="7">
        <v>40.299999999999997</v>
      </c>
      <c r="J25" s="7">
        <v>58.4</v>
      </c>
      <c r="K25" s="7">
        <v>47.8</v>
      </c>
      <c r="L25" s="7">
        <v>25</v>
      </c>
      <c r="M25" s="7">
        <v>34</v>
      </c>
      <c r="N25" s="7">
        <v>29.5</v>
      </c>
      <c r="O25" s="7">
        <v>29.6</v>
      </c>
      <c r="P25" s="7">
        <v>33.200000000000003</v>
      </c>
      <c r="Q25" s="7">
        <v>29.3</v>
      </c>
      <c r="S25" s="18"/>
      <c r="T25" s="18"/>
    </row>
    <row r="26" spans="1:20">
      <c r="A26" s="7">
        <v>13</v>
      </c>
      <c r="B26" s="64" t="s">
        <v>88</v>
      </c>
      <c r="C26" s="64">
        <v>41</v>
      </c>
      <c r="D26" s="66">
        <v>16.98</v>
      </c>
      <c r="E26" s="7" t="s">
        <v>97</v>
      </c>
      <c r="F26" s="7">
        <v>6.6</v>
      </c>
      <c r="G26" s="7">
        <v>8.5</v>
      </c>
      <c r="H26" s="7">
        <v>11.3</v>
      </c>
      <c r="I26" s="7">
        <v>14.1</v>
      </c>
      <c r="J26" s="7">
        <v>18.3</v>
      </c>
      <c r="K26" s="7">
        <v>22.7</v>
      </c>
      <c r="L26" s="7">
        <v>26.4</v>
      </c>
      <c r="M26" s="7">
        <v>26</v>
      </c>
      <c r="N26" s="7">
        <v>21.8</v>
      </c>
      <c r="O26" s="7">
        <v>16.2</v>
      </c>
      <c r="P26" s="7">
        <v>10.5</v>
      </c>
      <c r="Q26" s="7">
        <v>7</v>
      </c>
      <c r="S26" s="18"/>
      <c r="T26" s="18"/>
    </row>
    <row r="27" spans="1:20">
      <c r="A27" s="7"/>
      <c r="B27" s="69">
        <v>41283</v>
      </c>
      <c r="C27" s="64"/>
      <c r="D27" s="66"/>
      <c r="E27" s="7" t="s">
        <v>98</v>
      </c>
      <c r="F27" s="7">
        <v>20.5</v>
      </c>
      <c r="G27" s="7">
        <v>18.8</v>
      </c>
      <c r="H27" s="7">
        <v>19.5</v>
      </c>
      <c r="I27" s="7">
        <v>30</v>
      </c>
      <c r="J27" s="7">
        <v>47.7</v>
      </c>
      <c r="K27" s="7">
        <v>36.1</v>
      </c>
      <c r="L27" s="7">
        <v>15.3</v>
      </c>
      <c r="M27" s="7">
        <v>19.399999999999999</v>
      </c>
      <c r="N27" s="7">
        <v>24.9</v>
      </c>
      <c r="O27" s="7">
        <v>31.1</v>
      </c>
      <c r="P27" s="7">
        <v>28.7</v>
      </c>
      <c r="Q27" s="7">
        <v>23.2</v>
      </c>
      <c r="S27" s="18"/>
      <c r="T27" s="18"/>
    </row>
    <row r="28" spans="1:20">
      <c r="A28" s="7">
        <v>14</v>
      </c>
      <c r="B28" s="64" t="s">
        <v>89</v>
      </c>
      <c r="C28" s="64">
        <v>42</v>
      </c>
      <c r="D28" s="66">
        <v>4.9800000000000004</v>
      </c>
      <c r="E28" s="7" t="s">
        <v>97</v>
      </c>
      <c r="F28" s="7">
        <v>4.5</v>
      </c>
      <c r="G28" s="7">
        <v>6.3</v>
      </c>
      <c r="H28" s="7">
        <v>8.8000000000000007</v>
      </c>
      <c r="I28" s="7">
        <v>11.2</v>
      </c>
      <c r="J28" s="7">
        <v>15.1</v>
      </c>
      <c r="K28" s="7">
        <v>19.5</v>
      </c>
      <c r="L28" s="7">
        <v>23.1</v>
      </c>
      <c r="M28" s="7">
        <v>22.7</v>
      </c>
      <c r="N28" s="7">
        <v>19.100000000000001</v>
      </c>
      <c r="O28" s="7">
        <v>14.1</v>
      </c>
      <c r="P28" s="7">
        <v>8.8000000000000007</v>
      </c>
      <c r="Q28" s="7">
        <v>5.4</v>
      </c>
      <c r="S28" s="18"/>
      <c r="T28" s="18"/>
    </row>
    <row r="29" spans="1:20">
      <c r="A29" s="7"/>
      <c r="B29" s="69">
        <v>42083</v>
      </c>
      <c r="C29" s="64"/>
      <c r="D29" s="66"/>
      <c r="E29" s="7" t="s">
        <v>98</v>
      </c>
      <c r="F29" s="7">
        <v>33.799999999999997</v>
      </c>
      <c r="G29" s="7">
        <v>36</v>
      </c>
      <c r="H29" s="7">
        <v>33.200000000000003</v>
      </c>
      <c r="I29" s="7">
        <v>48.9</v>
      </c>
      <c r="J29" s="7">
        <v>61.7</v>
      </c>
      <c r="K29" s="7">
        <v>47.1</v>
      </c>
      <c r="L29" s="7">
        <v>20.2</v>
      </c>
      <c r="M29" s="7">
        <v>35</v>
      </c>
      <c r="N29" s="7">
        <v>47.3</v>
      </c>
      <c r="O29" s="7">
        <v>40.6</v>
      </c>
      <c r="P29" s="7">
        <v>51.3</v>
      </c>
      <c r="Q29" s="7">
        <v>46.5</v>
      </c>
      <c r="S29" s="18"/>
      <c r="T29" s="18"/>
    </row>
    <row r="30" spans="1:20">
      <c r="A30" s="7">
        <v>15</v>
      </c>
      <c r="B30" s="64" t="s">
        <v>90</v>
      </c>
      <c r="C30" s="64">
        <v>41</v>
      </c>
      <c r="D30" s="66">
        <v>9.9600000000000009</v>
      </c>
      <c r="E30" s="7" t="s">
        <v>97</v>
      </c>
      <c r="F30" s="7">
        <v>4.5</v>
      </c>
      <c r="G30" s="7">
        <v>5.3</v>
      </c>
      <c r="H30" s="7">
        <v>7.9</v>
      </c>
      <c r="I30" s="7">
        <v>10.1</v>
      </c>
      <c r="J30" s="7">
        <v>14.5</v>
      </c>
      <c r="K30" s="7">
        <v>19.399999999999999</v>
      </c>
      <c r="L30" s="7">
        <v>23.5</v>
      </c>
      <c r="M30" s="7">
        <v>23.1</v>
      </c>
      <c r="N30" s="7">
        <v>18.899999999999999</v>
      </c>
      <c r="O30" s="7">
        <v>13.4</v>
      </c>
      <c r="P30" s="7">
        <v>8.4</v>
      </c>
      <c r="Q30" s="7">
        <v>5.4</v>
      </c>
      <c r="S30" s="18"/>
      <c r="T30" s="18"/>
    </row>
    <row r="31" spans="1:20">
      <c r="A31" s="7"/>
      <c r="B31" s="69">
        <v>41166</v>
      </c>
      <c r="C31" s="64"/>
      <c r="D31" s="66"/>
      <c r="E31" s="7" t="s">
        <v>98</v>
      </c>
      <c r="F31" s="7">
        <v>21.1</v>
      </c>
      <c r="G31" s="7">
        <v>24.3</v>
      </c>
      <c r="H31" s="7">
        <v>24.7</v>
      </c>
      <c r="I31" s="7">
        <v>39.1</v>
      </c>
      <c r="J31" s="7">
        <v>53.1</v>
      </c>
      <c r="K31" s="7">
        <v>47.7</v>
      </c>
      <c r="L31" s="7">
        <v>21.6</v>
      </c>
      <c r="M31" s="7">
        <v>27.9</v>
      </c>
      <c r="N31" s="7">
        <v>40.200000000000003</v>
      </c>
      <c r="O31" s="7">
        <v>32.6</v>
      </c>
      <c r="P31" s="7">
        <v>27.4</v>
      </c>
      <c r="Q31" s="7">
        <v>22.1</v>
      </c>
      <c r="S31" s="18"/>
      <c r="T31" s="18"/>
    </row>
    <row r="32" spans="1:20">
      <c r="A32" s="7">
        <v>16</v>
      </c>
      <c r="B32" s="64" t="s">
        <v>91</v>
      </c>
      <c r="C32" s="64">
        <v>42</v>
      </c>
      <c r="D32" s="66">
        <v>7.98</v>
      </c>
      <c r="E32" s="7" t="s">
        <v>97</v>
      </c>
      <c r="F32" s="7">
        <v>5</v>
      </c>
      <c r="G32" s="7">
        <v>7.2</v>
      </c>
      <c r="H32" s="7">
        <v>9.6</v>
      </c>
      <c r="I32" s="7">
        <v>11.7</v>
      </c>
      <c r="J32" s="7">
        <v>16.100000000000001</v>
      </c>
      <c r="K32" s="7">
        <v>20.3</v>
      </c>
      <c r="L32" s="7">
        <v>23.9</v>
      </c>
      <c r="M32" s="7">
        <v>24</v>
      </c>
      <c r="N32" s="7">
        <v>20.100000000000001</v>
      </c>
      <c r="O32" s="7">
        <v>14.8</v>
      </c>
      <c r="P32" s="7">
        <v>9</v>
      </c>
      <c r="Q32" s="7">
        <v>5.9</v>
      </c>
      <c r="S32" s="18"/>
      <c r="T32" s="18"/>
    </row>
    <row r="33" spans="1:20">
      <c r="A33" s="7"/>
      <c r="B33" s="69">
        <v>42133</v>
      </c>
      <c r="C33" s="64"/>
      <c r="D33" s="66"/>
      <c r="E33" s="7" t="s">
        <v>98</v>
      </c>
      <c r="F33" s="7">
        <v>24.7</v>
      </c>
      <c r="G33" s="7">
        <v>32.200000000000003</v>
      </c>
      <c r="H33" s="7">
        <v>25.8</v>
      </c>
      <c r="I33" s="7">
        <v>40.4</v>
      </c>
      <c r="J33" s="7">
        <v>51.8</v>
      </c>
      <c r="K33" s="7">
        <v>42.9</v>
      </c>
      <c r="L33" s="7">
        <v>21.3</v>
      </c>
      <c r="M33" s="7">
        <v>22.9</v>
      </c>
      <c r="N33" s="7">
        <v>31.8</v>
      </c>
      <c r="O33" s="7">
        <v>45.3</v>
      </c>
      <c r="P33" s="7">
        <v>41.8</v>
      </c>
      <c r="Q33" s="7">
        <v>31.4</v>
      </c>
      <c r="S33" s="18"/>
      <c r="T33" s="18"/>
    </row>
    <row r="34" spans="1:20">
      <c r="A34" s="7">
        <v>17</v>
      </c>
      <c r="B34" s="64" t="s">
        <v>92</v>
      </c>
      <c r="C34" s="64">
        <v>41</v>
      </c>
      <c r="D34" s="66">
        <v>18.96</v>
      </c>
      <c r="E34" s="7" t="s">
        <v>97</v>
      </c>
      <c r="F34" s="7">
        <v>5.2</v>
      </c>
      <c r="G34" s="7">
        <v>6.8</v>
      </c>
      <c r="H34" s="7">
        <v>8.9</v>
      </c>
      <c r="I34" s="7">
        <v>10.9</v>
      </c>
      <c r="J34" s="7">
        <v>15</v>
      </c>
      <c r="K34" s="7">
        <v>19.2</v>
      </c>
      <c r="L34" s="7">
        <v>22.7</v>
      </c>
      <c r="M34" s="7">
        <v>22.3</v>
      </c>
      <c r="N34" s="7">
        <v>18.5</v>
      </c>
      <c r="O34" s="7">
        <v>13.4</v>
      </c>
      <c r="P34" s="7">
        <v>8.8000000000000007</v>
      </c>
      <c r="Q34" s="7">
        <v>5.8</v>
      </c>
      <c r="S34" s="18"/>
      <c r="T34" s="18"/>
    </row>
    <row r="35" spans="1:20">
      <c r="A35" s="7"/>
      <c r="B35" s="69">
        <v>41316</v>
      </c>
      <c r="C35" s="64"/>
      <c r="D35" s="66"/>
      <c r="E35" s="7" t="s">
        <v>98</v>
      </c>
      <c r="F35" s="7">
        <v>22.9</v>
      </c>
      <c r="G35" s="7">
        <v>25.2</v>
      </c>
      <c r="H35" s="7">
        <v>26.4</v>
      </c>
      <c r="I35" s="7">
        <v>46.2</v>
      </c>
      <c r="J35" s="7">
        <v>63.4</v>
      </c>
      <c r="K35" s="7">
        <v>42.5</v>
      </c>
      <c r="L35" s="7">
        <v>24.1</v>
      </c>
      <c r="M35" s="7">
        <v>28.8</v>
      </c>
      <c r="N35" s="7">
        <v>36</v>
      </c>
      <c r="O35" s="7">
        <v>31.3</v>
      </c>
      <c r="P35" s="7">
        <v>31.2</v>
      </c>
      <c r="Q35" s="7">
        <v>27.8</v>
      </c>
      <c r="S35" s="18"/>
      <c r="T35" s="18"/>
    </row>
    <row r="36" spans="1:20">
      <c r="A36" s="7">
        <v>18</v>
      </c>
      <c r="B36" s="64" t="s">
        <v>93</v>
      </c>
      <c r="C36" s="64">
        <v>42</v>
      </c>
      <c r="D36" s="66">
        <v>6</v>
      </c>
      <c r="E36" s="7" t="s">
        <v>97</v>
      </c>
      <c r="F36" s="7">
        <v>5.2</v>
      </c>
      <c r="G36" s="7">
        <v>6.8</v>
      </c>
      <c r="H36" s="7">
        <v>9.1</v>
      </c>
      <c r="I36" s="7">
        <v>11.3</v>
      </c>
      <c r="J36" s="7">
        <v>14.7</v>
      </c>
      <c r="K36" s="7">
        <v>19.2</v>
      </c>
      <c r="L36" s="7">
        <v>22.8</v>
      </c>
      <c r="M36" s="7">
        <v>22.6</v>
      </c>
      <c r="N36" s="7">
        <v>19.3</v>
      </c>
      <c r="O36" s="7">
        <v>14</v>
      </c>
      <c r="P36" s="7">
        <v>9.4</v>
      </c>
      <c r="Q36" s="7">
        <v>6.4</v>
      </c>
      <c r="S36" s="18"/>
      <c r="T36" s="18"/>
    </row>
    <row r="37" spans="1:20">
      <c r="A37" s="7"/>
      <c r="B37" s="67">
        <v>42.1</v>
      </c>
      <c r="C37" s="67"/>
      <c r="D37" s="66"/>
      <c r="E37" s="7" t="s">
        <v>98</v>
      </c>
      <c r="F37" s="7">
        <v>40.700000000000003</v>
      </c>
      <c r="G37" s="7">
        <v>43.9</v>
      </c>
      <c r="H37" s="7">
        <v>35.200000000000003</v>
      </c>
      <c r="I37" s="7">
        <v>51.2</v>
      </c>
      <c r="J37" s="7">
        <v>58</v>
      </c>
      <c r="K37" s="7">
        <v>47.1</v>
      </c>
      <c r="L37" s="7">
        <v>36.6</v>
      </c>
      <c r="M37" s="7">
        <v>35</v>
      </c>
      <c r="N37" s="7">
        <v>37.9</v>
      </c>
      <c r="O37" s="7">
        <v>53</v>
      </c>
      <c r="P37" s="7">
        <v>60.2</v>
      </c>
      <c r="Q37" s="7">
        <v>55</v>
      </c>
      <c r="S37" s="18"/>
      <c r="T37" s="18"/>
    </row>
    <row r="38" spans="1:20">
      <c r="A38" s="7">
        <v>19</v>
      </c>
      <c r="B38" s="64" t="s">
        <v>94</v>
      </c>
      <c r="C38" s="64">
        <v>41</v>
      </c>
      <c r="D38" s="66">
        <v>39</v>
      </c>
      <c r="E38" s="7" t="s">
        <v>97</v>
      </c>
      <c r="F38" s="7">
        <v>6.2</v>
      </c>
      <c r="G38" s="7">
        <v>8</v>
      </c>
      <c r="H38" s="7">
        <v>10.199999999999999</v>
      </c>
      <c r="I38" s="7">
        <v>12.8</v>
      </c>
      <c r="J38" s="7">
        <v>16.8</v>
      </c>
      <c r="K38" s="7">
        <v>21.1</v>
      </c>
      <c r="L38" s="7">
        <v>24.3</v>
      </c>
      <c r="M38" s="7">
        <v>23.8</v>
      </c>
      <c r="N38" s="7">
        <v>20.6</v>
      </c>
      <c r="O38" s="7">
        <v>15.4</v>
      </c>
      <c r="P38" s="7">
        <v>9.8000000000000007</v>
      </c>
      <c r="Q38" s="7">
        <v>6.5</v>
      </c>
      <c r="S38" s="18"/>
      <c r="T38" s="18"/>
    </row>
    <row r="39" spans="1:20">
      <c r="A39" s="7"/>
      <c r="B39" s="67">
        <v>41.65</v>
      </c>
      <c r="C39" s="67"/>
      <c r="D39" s="66"/>
      <c r="E39" s="7" t="s">
        <v>98</v>
      </c>
      <c r="F39" s="7">
        <v>23</v>
      </c>
      <c r="G39" s="7">
        <v>21</v>
      </c>
      <c r="H39" s="7">
        <v>23</v>
      </c>
      <c r="I39" s="7">
        <v>33</v>
      </c>
      <c r="J39" s="7">
        <v>38</v>
      </c>
      <c r="K39" s="7">
        <v>31</v>
      </c>
      <c r="L39" s="7">
        <v>15</v>
      </c>
      <c r="M39" s="7">
        <v>17</v>
      </c>
      <c r="N39" s="7">
        <v>26</v>
      </c>
      <c r="O39" s="7">
        <v>30</v>
      </c>
      <c r="P39" s="7">
        <v>36</v>
      </c>
      <c r="Q39" s="7">
        <v>21</v>
      </c>
      <c r="S39" s="18"/>
      <c r="T39" s="18"/>
    </row>
    <row r="40" spans="1:20">
      <c r="A40" s="7">
        <v>20</v>
      </c>
      <c r="B40" s="64" t="s">
        <v>95</v>
      </c>
      <c r="C40" s="64">
        <v>41</v>
      </c>
      <c r="D40" s="66">
        <v>51.96</v>
      </c>
      <c r="E40" s="7" t="s">
        <v>97</v>
      </c>
      <c r="F40" s="7">
        <v>5.9</v>
      </c>
      <c r="G40" s="7">
        <v>7.6</v>
      </c>
      <c r="H40" s="7">
        <v>10.4</v>
      </c>
      <c r="I40" s="7">
        <v>12.4</v>
      </c>
      <c r="J40" s="7">
        <v>16.8</v>
      </c>
      <c r="K40" s="7">
        <v>21.2</v>
      </c>
      <c r="L40" s="7">
        <v>24.4</v>
      </c>
      <c r="M40" s="7">
        <v>23.9</v>
      </c>
      <c r="N40" s="7">
        <v>20.2</v>
      </c>
      <c r="O40" s="7">
        <v>15</v>
      </c>
      <c r="P40" s="7">
        <v>9.6</v>
      </c>
      <c r="Q40" s="7">
        <v>6.3</v>
      </c>
      <c r="S40" s="18"/>
      <c r="T40" s="18"/>
    </row>
    <row r="41" spans="1:20">
      <c r="A41" s="7"/>
      <c r="B41" s="64">
        <v>41866</v>
      </c>
      <c r="C41" s="64"/>
      <c r="D41" s="66">
        <v>0</v>
      </c>
      <c r="E41" s="7" t="s">
        <v>98</v>
      </c>
      <c r="F41" s="7">
        <v>24</v>
      </c>
      <c r="G41" s="7">
        <v>27</v>
      </c>
      <c r="H41" s="7">
        <v>20</v>
      </c>
      <c r="I41" s="7">
        <v>38</v>
      </c>
      <c r="J41" s="7">
        <v>49.6</v>
      </c>
      <c r="K41" s="7">
        <v>29.8</v>
      </c>
      <c r="L41" s="7">
        <v>24.1</v>
      </c>
      <c r="M41" s="7">
        <v>21</v>
      </c>
      <c r="N41" s="7">
        <v>27.2</v>
      </c>
      <c r="O41" s="7">
        <v>33</v>
      </c>
      <c r="P41" s="7">
        <v>35.799999999999997</v>
      </c>
      <c r="Q41" s="7">
        <v>30.9</v>
      </c>
      <c r="S41" s="18"/>
      <c r="T41" s="18"/>
    </row>
    <row r="42" spans="1:20">
      <c r="A42" s="7">
        <v>21</v>
      </c>
      <c r="B42" s="64" t="s">
        <v>96</v>
      </c>
      <c r="C42" s="64">
        <v>41</v>
      </c>
      <c r="D42" s="66">
        <v>21.96</v>
      </c>
      <c r="E42" s="7" t="s">
        <v>97</v>
      </c>
      <c r="F42" s="7">
        <v>8.23</v>
      </c>
      <c r="G42" s="7">
        <v>9.0500000000000007</v>
      </c>
      <c r="H42" s="7">
        <v>12.74</v>
      </c>
      <c r="I42" s="7">
        <v>14.23</v>
      </c>
      <c r="J42" s="7">
        <v>18.03</v>
      </c>
      <c r="K42" s="7">
        <v>22.74</v>
      </c>
      <c r="L42" s="7">
        <v>24.49</v>
      </c>
      <c r="M42" s="7">
        <v>24.73</v>
      </c>
      <c r="N42" s="7">
        <v>20.239999999999998</v>
      </c>
      <c r="O42" s="7">
        <v>16.93</v>
      </c>
      <c r="P42" s="7">
        <v>11.08</v>
      </c>
      <c r="Q42" s="7">
        <v>8.6999999999999993</v>
      </c>
      <c r="S42" s="18"/>
      <c r="T42" s="18"/>
    </row>
    <row r="43" spans="1:20">
      <c r="A43" s="7"/>
      <c r="B43" s="69">
        <v>41466</v>
      </c>
      <c r="C43" s="64"/>
      <c r="D43" s="66"/>
      <c r="E43" s="7" t="s">
        <v>98</v>
      </c>
      <c r="F43" s="7">
        <v>35.9</v>
      </c>
      <c r="G43" s="7">
        <v>18.03</v>
      </c>
      <c r="H43" s="7">
        <v>22.48</v>
      </c>
      <c r="I43" s="7">
        <v>48.27</v>
      </c>
      <c r="J43" s="7">
        <v>51.29</v>
      </c>
      <c r="K43" s="7">
        <v>39.67</v>
      </c>
      <c r="L43" s="7">
        <v>30.65</v>
      </c>
      <c r="M43" s="7">
        <v>20.8</v>
      </c>
      <c r="N43" s="7">
        <v>32.6</v>
      </c>
      <c r="O43" s="7">
        <v>37.630000000000003</v>
      </c>
      <c r="P43" s="7">
        <v>28.67</v>
      </c>
      <c r="Q43" s="7">
        <v>30.87</v>
      </c>
      <c r="S43" s="18"/>
      <c r="T43" s="18"/>
    </row>
  </sheetData>
  <phoneticPr fontId="2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workbookViewId="0">
      <selection activeCell="T27" sqref="T27"/>
    </sheetView>
  </sheetViews>
  <sheetFormatPr baseColWidth="10" defaultRowHeight="12.75"/>
  <cols>
    <col min="1" max="1" width="10.28515625" customWidth="1"/>
    <col min="2" max="26" width="4.7109375" customWidth="1"/>
  </cols>
  <sheetData>
    <row r="1" spans="1:26">
      <c r="B1" t="s">
        <v>146</v>
      </c>
      <c r="O1" t="s">
        <v>147</v>
      </c>
    </row>
    <row r="2" spans="1:26">
      <c r="A2" t="s">
        <v>148</v>
      </c>
      <c r="B2" t="s">
        <v>149</v>
      </c>
      <c r="C2" t="s">
        <v>123</v>
      </c>
      <c r="D2" t="s">
        <v>124</v>
      </c>
      <c r="E2" t="s">
        <v>125</v>
      </c>
      <c r="F2" t="s">
        <v>126</v>
      </c>
      <c r="G2" t="s">
        <v>127</v>
      </c>
      <c r="H2" t="s">
        <v>128</v>
      </c>
      <c r="I2" t="s">
        <v>129</v>
      </c>
      <c r="J2" t="s">
        <v>130</v>
      </c>
      <c r="K2" t="s">
        <v>131</v>
      </c>
      <c r="L2" t="s">
        <v>132</v>
      </c>
      <c r="M2" t="s">
        <v>133</v>
      </c>
      <c r="O2" t="s">
        <v>149</v>
      </c>
      <c r="P2" t="s">
        <v>123</v>
      </c>
      <c r="Q2" t="s">
        <v>124</v>
      </c>
      <c r="R2" t="s">
        <v>125</v>
      </c>
      <c r="S2" t="s">
        <v>126</v>
      </c>
      <c r="T2" t="s">
        <v>127</v>
      </c>
      <c r="U2" t="s">
        <v>128</v>
      </c>
      <c r="V2" t="s">
        <v>129</v>
      </c>
      <c r="W2" t="s">
        <v>130</v>
      </c>
      <c r="X2" t="s">
        <v>131</v>
      </c>
      <c r="Y2" t="s">
        <v>132</v>
      </c>
      <c r="Z2" t="s">
        <v>133</v>
      </c>
    </row>
    <row r="3" spans="1:26">
      <c r="A3">
        <v>0</v>
      </c>
      <c r="B3">
        <v>12.1</v>
      </c>
      <c r="C3">
        <v>12.1</v>
      </c>
      <c r="D3">
        <v>12.1</v>
      </c>
      <c r="E3">
        <v>12.1</v>
      </c>
      <c r="F3">
        <v>12.1</v>
      </c>
      <c r="G3">
        <v>12.1</v>
      </c>
      <c r="H3">
        <v>12.1</v>
      </c>
      <c r="I3">
        <v>12.1</v>
      </c>
      <c r="J3">
        <v>12.1</v>
      </c>
      <c r="K3">
        <v>12.1</v>
      </c>
      <c r="L3">
        <v>12.1</v>
      </c>
      <c r="M3">
        <v>12.1</v>
      </c>
      <c r="N3">
        <v>0</v>
      </c>
      <c r="O3">
        <f>(B4-B3)/($A4-$A3)</f>
        <v>0</v>
      </c>
      <c r="P3">
        <f t="shared" ref="P3:Z15" si="0">(C4-C3)/($A4-$A3)</f>
        <v>-1.9999999999999928E-2</v>
      </c>
      <c r="Q3">
        <f t="shared" si="0"/>
        <v>-3.9999999999999855E-2</v>
      </c>
      <c r="R3">
        <f t="shared" si="0"/>
        <v>-5.999999999999979E-2</v>
      </c>
      <c r="S3">
        <f t="shared" si="0"/>
        <v>-5.999999999999979E-2</v>
      </c>
      <c r="T3">
        <f t="shared" si="0"/>
        <v>-3.9999999999999855E-2</v>
      </c>
      <c r="U3">
        <f t="shared" si="0"/>
        <v>-1.9999999999999928E-2</v>
      </c>
      <c r="V3">
        <f t="shared" si="0"/>
        <v>1.9999999999999928E-2</v>
      </c>
      <c r="W3">
        <f t="shared" si="0"/>
        <v>4.0000000000000216E-2</v>
      </c>
      <c r="X3">
        <f t="shared" si="0"/>
        <v>6.0000000000000143E-2</v>
      </c>
      <c r="Y3">
        <f t="shared" si="0"/>
        <v>4.0000000000000216E-2</v>
      </c>
      <c r="Z3">
        <f t="shared" si="0"/>
        <v>4.0000000000000216E-2</v>
      </c>
    </row>
    <row r="4" spans="1:26">
      <c r="A4">
        <v>5</v>
      </c>
      <c r="B4">
        <v>12.1</v>
      </c>
      <c r="C4">
        <v>12</v>
      </c>
      <c r="D4">
        <v>11.9</v>
      </c>
      <c r="E4">
        <v>11.8</v>
      </c>
      <c r="F4">
        <v>11.8</v>
      </c>
      <c r="G4">
        <v>11.9</v>
      </c>
      <c r="H4">
        <v>12</v>
      </c>
      <c r="I4">
        <v>12.2</v>
      </c>
      <c r="J4">
        <v>12.3</v>
      </c>
      <c r="K4">
        <v>12.4</v>
      </c>
      <c r="L4">
        <v>12.3</v>
      </c>
      <c r="M4">
        <v>12.3</v>
      </c>
      <c r="N4">
        <v>5</v>
      </c>
      <c r="O4">
        <f t="shared" ref="O4:O15" si="1">(B5-B4)/($A5-$A4)</f>
        <v>0</v>
      </c>
      <c r="P4">
        <f t="shared" si="0"/>
        <v>-3.9999999999999855E-2</v>
      </c>
      <c r="Q4">
        <f t="shared" si="0"/>
        <v>-6.0000000000000143E-2</v>
      </c>
      <c r="R4">
        <f t="shared" si="0"/>
        <v>-6.0000000000000143E-2</v>
      </c>
      <c r="S4">
        <f t="shared" si="0"/>
        <v>-4.0000000000000216E-2</v>
      </c>
      <c r="T4">
        <f t="shared" si="0"/>
        <v>-1.9999999999999928E-2</v>
      </c>
      <c r="U4">
        <f t="shared" si="0"/>
        <v>0</v>
      </c>
      <c r="V4">
        <f t="shared" si="0"/>
        <v>2.0000000000000285E-2</v>
      </c>
      <c r="W4">
        <f t="shared" si="0"/>
        <v>5.999999999999979E-2</v>
      </c>
      <c r="X4">
        <f t="shared" si="0"/>
        <v>5.999999999999979E-2</v>
      </c>
      <c r="Y4">
        <f t="shared" si="0"/>
        <v>5.999999999999979E-2</v>
      </c>
      <c r="Z4">
        <f t="shared" si="0"/>
        <v>1.9999999999999928E-2</v>
      </c>
    </row>
    <row r="5" spans="1:26">
      <c r="A5">
        <v>10</v>
      </c>
      <c r="B5">
        <v>12.1</v>
      </c>
      <c r="C5">
        <v>11.8</v>
      </c>
      <c r="D5">
        <v>11.6</v>
      </c>
      <c r="E5">
        <v>11.5</v>
      </c>
      <c r="F5">
        <v>11.6</v>
      </c>
      <c r="G5">
        <v>11.8</v>
      </c>
      <c r="H5">
        <v>12</v>
      </c>
      <c r="I5">
        <v>12.3</v>
      </c>
      <c r="J5">
        <v>12.6</v>
      </c>
      <c r="K5">
        <v>12.7</v>
      </c>
      <c r="L5">
        <v>12.6</v>
      </c>
      <c r="M5">
        <v>12.4</v>
      </c>
      <c r="N5">
        <v>10</v>
      </c>
      <c r="O5">
        <f t="shared" si="1"/>
        <v>1.9999999999999928E-2</v>
      </c>
      <c r="P5">
        <f t="shared" si="0"/>
        <v>0</v>
      </c>
      <c r="Q5">
        <f t="shared" si="0"/>
        <v>-3.9999999999999855E-2</v>
      </c>
      <c r="R5">
        <f t="shared" si="0"/>
        <v>-6.0000000000000143E-2</v>
      </c>
      <c r="S5">
        <f t="shared" si="0"/>
        <v>-5.999999999999979E-2</v>
      </c>
      <c r="T5">
        <f t="shared" si="0"/>
        <v>-4.0000000000000216E-2</v>
      </c>
      <c r="U5">
        <f t="shared" si="0"/>
        <v>0</v>
      </c>
      <c r="V5">
        <f t="shared" si="0"/>
        <v>3.9999999999999855E-2</v>
      </c>
      <c r="W5">
        <f t="shared" si="0"/>
        <v>4.0000000000000216E-2</v>
      </c>
      <c r="X5">
        <f t="shared" si="0"/>
        <v>6.0000000000000143E-2</v>
      </c>
      <c r="Y5">
        <f t="shared" si="0"/>
        <v>6.0000000000000143E-2</v>
      </c>
      <c r="Z5">
        <f t="shared" si="0"/>
        <v>3.9999999999999855E-2</v>
      </c>
    </row>
    <row r="6" spans="1:26">
      <c r="A6">
        <v>15</v>
      </c>
      <c r="B6">
        <v>12.2</v>
      </c>
      <c r="C6">
        <v>11.8</v>
      </c>
      <c r="D6">
        <v>11.4</v>
      </c>
      <c r="E6">
        <v>11.2</v>
      </c>
      <c r="F6">
        <v>11.3</v>
      </c>
      <c r="G6">
        <v>11.6</v>
      </c>
      <c r="H6">
        <v>12</v>
      </c>
      <c r="I6">
        <v>12.5</v>
      </c>
      <c r="J6">
        <v>12.8</v>
      </c>
      <c r="K6">
        <v>13</v>
      </c>
      <c r="L6">
        <v>12.9</v>
      </c>
      <c r="M6">
        <v>12.6</v>
      </c>
      <c r="N6">
        <v>15</v>
      </c>
      <c r="O6">
        <f t="shared" si="1"/>
        <v>2.0000000000000285E-2</v>
      </c>
      <c r="P6">
        <f t="shared" si="0"/>
        <v>-2.0000000000000285E-2</v>
      </c>
      <c r="Q6">
        <f t="shared" si="0"/>
        <v>-4.0000000000000216E-2</v>
      </c>
      <c r="R6">
        <f t="shared" si="0"/>
        <v>-5.999999999999979E-2</v>
      </c>
      <c r="S6">
        <f t="shared" si="0"/>
        <v>-6.0000000000000143E-2</v>
      </c>
      <c r="T6">
        <f t="shared" si="0"/>
        <v>-1.9999999999999928E-2</v>
      </c>
      <c r="U6">
        <f t="shared" si="0"/>
        <v>0</v>
      </c>
      <c r="V6">
        <f t="shared" si="0"/>
        <v>1.9999999999999928E-2</v>
      </c>
      <c r="W6">
        <f t="shared" si="0"/>
        <v>5.999999999999979E-2</v>
      </c>
      <c r="X6">
        <f t="shared" si="0"/>
        <v>6.0000000000000143E-2</v>
      </c>
      <c r="Y6">
        <f t="shared" si="0"/>
        <v>5.999999999999979E-2</v>
      </c>
      <c r="Z6">
        <f t="shared" si="0"/>
        <v>4.0000000000000216E-2</v>
      </c>
    </row>
    <row r="7" spans="1:26">
      <c r="A7">
        <v>20</v>
      </c>
      <c r="B7">
        <v>12.3</v>
      </c>
      <c r="C7">
        <v>11.7</v>
      </c>
      <c r="D7">
        <v>11.2</v>
      </c>
      <c r="E7">
        <v>10.9</v>
      </c>
      <c r="F7">
        <v>11</v>
      </c>
      <c r="G7">
        <v>11.5</v>
      </c>
      <c r="H7">
        <v>12</v>
      </c>
      <c r="I7">
        <v>12.6</v>
      </c>
      <c r="J7">
        <v>13.1</v>
      </c>
      <c r="K7">
        <v>13.3</v>
      </c>
      <c r="L7">
        <v>13.2</v>
      </c>
      <c r="M7">
        <v>12.8</v>
      </c>
      <c r="N7">
        <v>20</v>
      </c>
      <c r="O7">
        <f t="shared" si="1"/>
        <v>0</v>
      </c>
      <c r="P7">
        <f t="shared" si="0"/>
        <v>-1.9999999999999928E-2</v>
      </c>
      <c r="Q7">
        <f t="shared" si="0"/>
        <v>-5.999999999999979E-2</v>
      </c>
      <c r="R7">
        <f t="shared" si="0"/>
        <v>-6.0000000000000143E-2</v>
      </c>
      <c r="S7">
        <f t="shared" si="0"/>
        <v>-6.0000000000000143E-2</v>
      </c>
      <c r="T7">
        <f t="shared" si="0"/>
        <v>-3.9999999999999855E-2</v>
      </c>
      <c r="U7">
        <f t="shared" si="0"/>
        <v>0</v>
      </c>
      <c r="V7">
        <f t="shared" si="0"/>
        <v>1.9999999999999928E-2</v>
      </c>
      <c r="W7">
        <f t="shared" si="0"/>
        <v>4.0000000000000216E-2</v>
      </c>
      <c r="X7">
        <f t="shared" si="0"/>
        <v>7.999999999999971E-2</v>
      </c>
      <c r="Y7">
        <f t="shared" si="0"/>
        <v>6.0000000000000143E-2</v>
      </c>
      <c r="Z7">
        <f t="shared" si="0"/>
        <v>3.9999999999999855E-2</v>
      </c>
    </row>
    <row r="8" spans="1:26">
      <c r="A8">
        <v>25</v>
      </c>
      <c r="B8">
        <v>12.3</v>
      </c>
      <c r="C8">
        <v>11.6</v>
      </c>
      <c r="D8">
        <v>10.9</v>
      </c>
      <c r="E8">
        <v>10.6</v>
      </c>
      <c r="F8">
        <v>10.7</v>
      </c>
      <c r="G8">
        <v>11.3</v>
      </c>
      <c r="H8">
        <v>12</v>
      </c>
      <c r="I8">
        <v>12.7</v>
      </c>
      <c r="J8">
        <v>13.3</v>
      </c>
      <c r="K8">
        <v>13.7</v>
      </c>
      <c r="L8">
        <v>13.5</v>
      </c>
      <c r="M8">
        <v>13</v>
      </c>
      <c r="N8">
        <v>25</v>
      </c>
      <c r="O8">
        <f t="shared" si="1"/>
        <v>1.9999999999999928E-2</v>
      </c>
      <c r="P8">
        <f t="shared" si="0"/>
        <v>-1.9999999999999928E-2</v>
      </c>
      <c r="Q8">
        <f t="shared" si="0"/>
        <v>-6.0000000000000143E-2</v>
      </c>
      <c r="R8">
        <f t="shared" si="0"/>
        <v>-8.0000000000000071E-2</v>
      </c>
      <c r="S8">
        <f t="shared" si="0"/>
        <v>-5.999999999999979E-2</v>
      </c>
      <c r="T8">
        <f t="shared" si="0"/>
        <v>-4.0000000000000216E-2</v>
      </c>
      <c r="U8">
        <f t="shared" si="0"/>
        <v>0</v>
      </c>
      <c r="V8">
        <f t="shared" si="0"/>
        <v>4.0000000000000216E-2</v>
      </c>
      <c r="W8">
        <f t="shared" si="0"/>
        <v>5.999999999999979E-2</v>
      </c>
      <c r="X8">
        <f t="shared" si="0"/>
        <v>6.0000000000000143E-2</v>
      </c>
      <c r="Y8">
        <f t="shared" si="0"/>
        <v>8.0000000000000071E-2</v>
      </c>
      <c r="Z8">
        <f t="shared" si="0"/>
        <v>3.9999999999999855E-2</v>
      </c>
    </row>
    <row r="9" spans="1:26">
      <c r="A9">
        <v>30</v>
      </c>
      <c r="B9">
        <v>12.4</v>
      </c>
      <c r="C9">
        <v>11.5</v>
      </c>
      <c r="D9">
        <v>10.6</v>
      </c>
      <c r="E9">
        <v>10.199999999999999</v>
      </c>
      <c r="F9">
        <v>10.4</v>
      </c>
      <c r="G9">
        <v>11.1</v>
      </c>
      <c r="H9">
        <v>12</v>
      </c>
      <c r="I9">
        <v>12.9</v>
      </c>
      <c r="J9">
        <v>13.6</v>
      </c>
      <c r="K9">
        <v>14</v>
      </c>
      <c r="L9">
        <v>13.9</v>
      </c>
      <c r="M9">
        <v>13.2</v>
      </c>
      <c r="N9">
        <v>30</v>
      </c>
      <c r="O9">
        <f t="shared" si="1"/>
        <v>0</v>
      </c>
      <c r="P9">
        <f t="shared" si="0"/>
        <v>-3.9999999999999855E-2</v>
      </c>
      <c r="Q9">
        <f t="shared" si="0"/>
        <v>-5.999999999999979E-2</v>
      </c>
      <c r="R9">
        <f t="shared" si="0"/>
        <v>-7.999999999999971E-2</v>
      </c>
      <c r="S9">
        <f t="shared" si="0"/>
        <v>-6.0000000000000143E-2</v>
      </c>
      <c r="T9">
        <f t="shared" si="0"/>
        <v>-1.9999999999999928E-2</v>
      </c>
      <c r="U9">
        <f t="shared" si="0"/>
        <v>-1.9999999999999928E-2</v>
      </c>
      <c r="V9">
        <f t="shared" si="0"/>
        <v>3.9999999999999855E-2</v>
      </c>
      <c r="W9">
        <f t="shared" si="0"/>
        <v>8.0000000000000071E-2</v>
      </c>
      <c r="X9">
        <f t="shared" si="0"/>
        <v>0.1</v>
      </c>
      <c r="Y9">
        <f t="shared" si="0"/>
        <v>8.0000000000000071E-2</v>
      </c>
      <c r="Z9">
        <f t="shared" si="0"/>
        <v>6.0000000000000143E-2</v>
      </c>
    </row>
    <row r="10" spans="1:26">
      <c r="A10">
        <v>35</v>
      </c>
      <c r="B10">
        <v>12.4</v>
      </c>
      <c r="C10">
        <v>11.3</v>
      </c>
      <c r="D10">
        <v>10.3</v>
      </c>
      <c r="E10">
        <v>9.8000000000000007</v>
      </c>
      <c r="F10">
        <v>10.1</v>
      </c>
      <c r="G10">
        <v>11</v>
      </c>
      <c r="H10">
        <v>11.9</v>
      </c>
      <c r="I10">
        <v>13.1</v>
      </c>
      <c r="J10">
        <v>14</v>
      </c>
      <c r="K10">
        <v>14.5</v>
      </c>
      <c r="L10">
        <v>14.3</v>
      </c>
      <c r="M10">
        <v>13.5</v>
      </c>
      <c r="N10">
        <v>35</v>
      </c>
      <c r="O10">
        <f t="shared" si="1"/>
        <v>1.9999999999999928E-2</v>
      </c>
      <c r="P10">
        <f t="shared" si="0"/>
        <v>-2.0000000000000285E-2</v>
      </c>
      <c r="Q10">
        <f t="shared" si="0"/>
        <v>-6.0000000000000143E-2</v>
      </c>
      <c r="R10">
        <f t="shared" si="0"/>
        <v>-0.1</v>
      </c>
      <c r="S10">
        <f t="shared" si="0"/>
        <v>-0.1</v>
      </c>
      <c r="T10">
        <f t="shared" si="0"/>
        <v>-6.0000000000000143E-2</v>
      </c>
      <c r="U10">
        <f t="shared" si="0"/>
        <v>0</v>
      </c>
      <c r="V10">
        <f t="shared" si="0"/>
        <v>4.0000000000000216E-2</v>
      </c>
      <c r="W10">
        <f t="shared" si="0"/>
        <v>8.0000000000000071E-2</v>
      </c>
      <c r="X10">
        <f t="shared" si="0"/>
        <v>0.1</v>
      </c>
      <c r="Y10">
        <f t="shared" si="0"/>
        <v>7.999999999999971E-2</v>
      </c>
      <c r="Z10">
        <f t="shared" si="0"/>
        <v>3.9999999999999855E-2</v>
      </c>
    </row>
    <row r="11" spans="1:26" s="3" customFormat="1">
      <c r="A11" s="3">
        <v>40</v>
      </c>
      <c r="B11" s="3">
        <v>12.5</v>
      </c>
      <c r="C11" s="3">
        <v>11.2</v>
      </c>
      <c r="D11" s="3">
        <v>10</v>
      </c>
      <c r="E11" s="3">
        <v>9.3000000000000007</v>
      </c>
      <c r="F11" s="3">
        <v>9.6</v>
      </c>
      <c r="G11" s="3">
        <v>10.7</v>
      </c>
      <c r="H11" s="3">
        <v>11.9</v>
      </c>
      <c r="I11" s="3">
        <v>13.3</v>
      </c>
      <c r="J11" s="3">
        <v>14.4</v>
      </c>
      <c r="K11" s="3">
        <v>15</v>
      </c>
      <c r="L11" s="3">
        <v>14.7</v>
      </c>
      <c r="M11" s="3">
        <v>13.7</v>
      </c>
      <c r="N11" s="3">
        <v>40</v>
      </c>
      <c r="O11" s="3">
        <f t="shared" si="1"/>
        <v>0.20000000000000018</v>
      </c>
      <c r="P11" s="3">
        <f t="shared" si="0"/>
        <v>-4.9999999999999822E-2</v>
      </c>
      <c r="Q11" s="3">
        <f t="shared" si="0"/>
        <v>-9.9999999999999645E-2</v>
      </c>
      <c r="R11" s="3">
        <f t="shared" si="0"/>
        <v>-0.10000000000000053</v>
      </c>
      <c r="S11" s="3">
        <f t="shared" si="0"/>
        <v>-9.9999999999999645E-2</v>
      </c>
      <c r="T11" s="3">
        <f t="shared" si="0"/>
        <v>-4.9999999999999822E-2</v>
      </c>
      <c r="U11" s="3">
        <f t="shared" si="0"/>
        <v>0</v>
      </c>
      <c r="V11" s="3">
        <f t="shared" si="0"/>
        <v>4.9999999999999822E-2</v>
      </c>
      <c r="W11" s="3">
        <f t="shared" si="0"/>
        <v>9.9999999999999645E-2</v>
      </c>
      <c r="X11" s="3">
        <f t="shared" si="0"/>
        <v>9.9999999999999645E-2</v>
      </c>
      <c r="Y11" s="3">
        <f t="shared" si="0"/>
        <v>0.10000000000000053</v>
      </c>
      <c r="Z11" s="3">
        <f t="shared" si="0"/>
        <v>0.10000000000000053</v>
      </c>
    </row>
    <row r="12" spans="1:26">
      <c r="A12">
        <v>42</v>
      </c>
      <c r="B12">
        <v>12.9</v>
      </c>
      <c r="C12">
        <v>11.1</v>
      </c>
      <c r="D12">
        <v>9.8000000000000007</v>
      </c>
      <c r="E12">
        <v>9.1</v>
      </c>
      <c r="F12">
        <v>9.4</v>
      </c>
      <c r="G12">
        <v>10.6</v>
      </c>
      <c r="H12">
        <v>11.9</v>
      </c>
      <c r="I12">
        <v>13.4</v>
      </c>
      <c r="J12">
        <v>14.6</v>
      </c>
      <c r="K12">
        <v>15.2</v>
      </c>
      <c r="L12">
        <v>14.9</v>
      </c>
      <c r="M12">
        <v>13.9</v>
      </c>
      <c r="N12">
        <v>42</v>
      </c>
      <c r="O12">
        <f t="shared" si="1"/>
        <v>-0.15000000000000036</v>
      </c>
      <c r="P12">
        <f t="shared" si="0"/>
        <v>-4.9999999999999822E-2</v>
      </c>
      <c r="Q12">
        <f t="shared" si="0"/>
        <v>-5.0000000000000711E-2</v>
      </c>
      <c r="R12">
        <f t="shared" si="0"/>
        <v>-9.9999999999999645E-2</v>
      </c>
      <c r="S12">
        <f t="shared" si="0"/>
        <v>-4.9999999999999822E-2</v>
      </c>
      <c r="T12">
        <f t="shared" si="0"/>
        <v>-4.9999999999999822E-2</v>
      </c>
      <c r="U12">
        <f t="shared" si="0"/>
        <v>0</v>
      </c>
      <c r="V12">
        <f t="shared" si="0"/>
        <v>0</v>
      </c>
      <c r="W12">
        <f t="shared" si="0"/>
        <v>4.9999999999999822E-2</v>
      </c>
      <c r="X12">
        <f t="shared" si="0"/>
        <v>0.10000000000000053</v>
      </c>
      <c r="Y12">
        <f t="shared" si="0"/>
        <v>0.14999999999999947</v>
      </c>
      <c r="Z12">
        <f t="shared" si="0"/>
        <v>4.9999999999999822E-2</v>
      </c>
    </row>
    <row r="13" spans="1:26">
      <c r="A13">
        <v>44</v>
      </c>
      <c r="B13">
        <v>12.6</v>
      </c>
      <c r="C13">
        <v>11</v>
      </c>
      <c r="D13">
        <v>9.6999999999999993</v>
      </c>
      <c r="E13">
        <v>8.9</v>
      </c>
      <c r="F13">
        <v>9.3000000000000007</v>
      </c>
      <c r="G13">
        <v>10.5</v>
      </c>
      <c r="H13">
        <v>11.9</v>
      </c>
      <c r="I13">
        <v>13.4</v>
      </c>
      <c r="J13">
        <v>14.7</v>
      </c>
      <c r="K13">
        <v>15.4</v>
      </c>
      <c r="L13">
        <v>15.2</v>
      </c>
      <c r="M13">
        <v>14</v>
      </c>
      <c r="N13">
        <v>44</v>
      </c>
      <c r="O13">
        <f t="shared" si="1"/>
        <v>0</v>
      </c>
      <c r="P13">
        <f t="shared" si="0"/>
        <v>-4.9999999999999822E-2</v>
      </c>
      <c r="Q13">
        <f t="shared" si="0"/>
        <v>-9.9999999999999645E-2</v>
      </c>
      <c r="R13">
        <f t="shared" si="0"/>
        <v>-0.10000000000000053</v>
      </c>
      <c r="S13">
        <f t="shared" si="0"/>
        <v>-0.10000000000000053</v>
      </c>
      <c r="T13">
        <f t="shared" si="0"/>
        <v>-4.9999999999999822E-2</v>
      </c>
      <c r="U13">
        <f t="shared" si="0"/>
        <v>0</v>
      </c>
      <c r="V13">
        <f t="shared" si="0"/>
        <v>0</v>
      </c>
      <c r="W13">
        <f t="shared" si="0"/>
        <v>0.10000000000000053</v>
      </c>
      <c r="X13">
        <f t="shared" si="0"/>
        <v>0.14999999999999947</v>
      </c>
      <c r="Y13">
        <f t="shared" si="0"/>
        <v>0.10000000000000053</v>
      </c>
      <c r="Z13">
        <f t="shared" si="0"/>
        <v>9.9999999999999645E-2</v>
      </c>
    </row>
    <row r="14" spans="1:26">
      <c r="A14">
        <v>46</v>
      </c>
      <c r="B14">
        <v>12.6</v>
      </c>
      <c r="C14">
        <v>10.9</v>
      </c>
      <c r="D14">
        <v>9.5</v>
      </c>
      <c r="E14">
        <v>8.6999999999999993</v>
      </c>
      <c r="F14">
        <v>9.1</v>
      </c>
      <c r="G14">
        <v>10.4</v>
      </c>
      <c r="H14">
        <v>11.9</v>
      </c>
      <c r="I14">
        <v>13.4</v>
      </c>
      <c r="J14">
        <v>14.9</v>
      </c>
      <c r="K14">
        <v>15.7</v>
      </c>
      <c r="L14">
        <v>15.4</v>
      </c>
      <c r="M14">
        <v>14.2</v>
      </c>
      <c r="N14">
        <v>46</v>
      </c>
      <c r="O14">
        <f t="shared" si="1"/>
        <v>0</v>
      </c>
      <c r="P14">
        <f t="shared" si="0"/>
        <v>0</v>
      </c>
      <c r="Q14">
        <f t="shared" si="0"/>
        <v>-9.9999999999999645E-2</v>
      </c>
      <c r="R14">
        <f t="shared" si="0"/>
        <v>-0.19999999999999929</v>
      </c>
      <c r="S14">
        <f t="shared" si="0"/>
        <v>-0.14999999999999947</v>
      </c>
      <c r="T14">
        <f t="shared" si="0"/>
        <v>-0.10000000000000053</v>
      </c>
      <c r="U14">
        <f t="shared" si="0"/>
        <v>-4.9999999999999822E-2</v>
      </c>
      <c r="V14">
        <f t="shared" si="0"/>
        <v>9.9999999999999645E-2</v>
      </c>
      <c r="W14">
        <f t="shared" si="0"/>
        <v>0.14999999999999947</v>
      </c>
      <c r="X14">
        <f t="shared" si="0"/>
        <v>0.15000000000000036</v>
      </c>
      <c r="Y14">
        <f t="shared" si="0"/>
        <v>9.9999999999999645E-2</v>
      </c>
      <c r="Z14">
        <f t="shared" si="0"/>
        <v>5.0000000000000711E-2</v>
      </c>
    </row>
    <row r="15" spans="1:26">
      <c r="A15">
        <v>48</v>
      </c>
      <c r="B15">
        <v>12.6</v>
      </c>
      <c r="C15">
        <v>10.9</v>
      </c>
      <c r="D15">
        <v>9.3000000000000007</v>
      </c>
      <c r="E15">
        <v>8.3000000000000007</v>
      </c>
      <c r="F15">
        <v>8.8000000000000007</v>
      </c>
      <c r="G15">
        <v>10.199999999999999</v>
      </c>
      <c r="H15">
        <v>11.8</v>
      </c>
      <c r="I15">
        <v>13.6</v>
      </c>
      <c r="J15">
        <v>15.2</v>
      </c>
      <c r="K15">
        <v>16</v>
      </c>
      <c r="L15">
        <v>15.6</v>
      </c>
      <c r="M15">
        <v>14.3</v>
      </c>
      <c r="N15">
        <v>48</v>
      </c>
      <c r="O15">
        <f t="shared" si="1"/>
        <v>4.9999999999999822E-2</v>
      </c>
      <c r="P15">
        <f t="shared" si="0"/>
        <v>-4.9999999999999822E-2</v>
      </c>
      <c r="Q15">
        <f t="shared" si="0"/>
        <v>-0.10000000000000053</v>
      </c>
      <c r="R15">
        <f t="shared" si="0"/>
        <v>-0.10000000000000053</v>
      </c>
      <c r="S15">
        <f t="shared" si="0"/>
        <v>-0.15000000000000036</v>
      </c>
      <c r="T15">
        <f t="shared" si="0"/>
        <v>-4.9999999999999822E-2</v>
      </c>
      <c r="U15">
        <f t="shared" si="0"/>
        <v>0</v>
      </c>
      <c r="V15">
        <f t="shared" si="0"/>
        <v>0.10000000000000053</v>
      </c>
      <c r="W15">
        <f t="shared" si="0"/>
        <v>0.10000000000000053</v>
      </c>
      <c r="X15">
        <f t="shared" si="0"/>
        <v>0.15000000000000036</v>
      </c>
      <c r="Y15">
        <f t="shared" si="0"/>
        <v>0.15000000000000036</v>
      </c>
      <c r="Z15">
        <f t="shared" si="0"/>
        <v>9.9999999999999645E-2</v>
      </c>
    </row>
    <row r="16" spans="1:26">
      <c r="A16">
        <v>50</v>
      </c>
      <c r="B16">
        <v>12.7</v>
      </c>
      <c r="C16">
        <v>10.8</v>
      </c>
      <c r="D16">
        <v>9.1</v>
      </c>
      <c r="E16">
        <v>8.1</v>
      </c>
      <c r="F16">
        <v>8.5</v>
      </c>
      <c r="G16">
        <v>10.1</v>
      </c>
      <c r="H16">
        <v>11.8</v>
      </c>
      <c r="I16">
        <v>13.8</v>
      </c>
      <c r="J16">
        <v>15.4</v>
      </c>
      <c r="K16">
        <v>16.3</v>
      </c>
      <c r="L16">
        <v>15.9</v>
      </c>
      <c r="M16">
        <v>14.5</v>
      </c>
      <c r="N16">
        <v>50</v>
      </c>
    </row>
    <row r="18" spans="1:13">
      <c r="A18">
        <f>Climograma!J2</f>
        <v>41</v>
      </c>
      <c r="B18">
        <f>Climograma!L2</f>
        <v>28</v>
      </c>
      <c r="F18">
        <f>B18/0.6</f>
        <v>46.666666666666671</v>
      </c>
    </row>
    <row r="19" spans="1:13">
      <c r="A19">
        <f>A18+(B18/60)</f>
        <v>41.466666666666669</v>
      </c>
    </row>
    <row r="21" spans="1:13">
      <c r="A21">
        <f>A19-VLOOKUP(A19,A3:M16,1)</f>
        <v>1.4666666666666686</v>
      </c>
      <c r="B21">
        <f>VLOOKUP($A$19,$A$3:$M$16,2)</f>
        <v>12.5</v>
      </c>
      <c r="C21">
        <f>VLOOKUP($A$19,$A$3:$M$16,3)</f>
        <v>11.2</v>
      </c>
      <c r="D21">
        <f>VLOOKUP($A$19,$A$3:$M$16,4)</f>
        <v>10</v>
      </c>
      <c r="E21">
        <f>VLOOKUP($A$19,$A$3:$M$16,5)</f>
        <v>9.3000000000000007</v>
      </c>
      <c r="F21">
        <f>VLOOKUP($A$19,$A$3:$M$16,6)</f>
        <v>9.6</v>
      </c>
      <c r="G21">
        <f>VLOOKUP($A$19,$A$3:$M$16,7)</f>
        <v>10.7</v>
      </c>
      <c r="H21">
        <f>VLOOKUP($A$19,$A$3:$M$16,8)</f>
        <v>11.9</v>
      </c>
      <c r="I21">
        <f>VLOOKUP($A$19,$A$3:$M$16,9)</f>
        <v>13.3</v>
      </c>
      <c r="J21">
        <f>VLOOKUP($A$19,$A$3:$M$16,10)</f>
        <v>14.4</v>
      </c>
      <c r="K21">
        <f>VLOOKUP($A$19,$A$3:$M$16,11)</f>
        <v>15</v>
      </c>
      <c r="L21">
        <f>VLOOKUP($A$19,$A$3:$M$16,12)</f>
        <v>14.7</v>
      </c>
      <c r="M21">
        <f>VLOOKUP($A$19,$A$3:$M$16,13)</f>
        <v>13.7</v>
      </c>
    </row>
    <row r="22" spans="1:13">
      <c r="B22">
        <f>VLOOKUP($A$19,$N$3:$Z$16,2)</f>
        <v>0.20000000000000018</v>
      </c>
      <c r="C22">
        <f>VLOOKUP($A$19,$N$3:$Z$16,3)</f>
        <v>-4.9999999999999822E-2</v>
      </c>
      <c r="D22">
        <f>VLOOKUP($A$19,$N$3:$Z$16,4)</f>
        <v>-9.9999999999999645E-2</v>
      </c>
      <c r="E22">
        <f>VLOOKUP($A$19,$N$3:$Z$16,5)</f>
        <v>-0.10000000000000053</v>
      </c>
      <c r="F22">
        <f>VLOOKUP($A$19,$N$3:$Z$16,6)</f>
        <v>-9.9999999999999645E-2</v>
      </c>
      <c r="G22">
        <f>VLOOKUP($A$19,$N$3:$Z$16,7)</f>
        <v>-4.9999999999999822E-2</v>
      </c>
      <c r="H22">
        <f>VLOOKUP($A$19,$N$3:$Z$16,8)</f>
        <v>0</v>
      </c>
      <c r="I22">
        <f>VLOOKUP($A$19,$N$3:$Z$16,9)</f>
        <v>4.9999999999999822E-2</v>
      </c>
      <c r="J22">
        <f>VLOOKUP($A$19,$N$3:$Z$16,10)</f>
        <v>9.9999999999999645E-2</v>
      </c>
      <c r="K22">
        <f>VLOOKUP($A$19,$N$3:$Z$16,11)</f>
        <v>9.9999999999999645E-2</v>
      </c>
      <c r="L22">
        <f>VLOOKUP($A$19,$N$3:$Z$16,12)</f>
        <v>0.10000000000000053</v>
      </c>
      <c r="M22">
        <f>VLOOKUP($A$19,$N$3:$Z$16,13)</f>
        <v>0.10000000000000053</v>
      </c>
    </row>
    <row r="24" spans="1:13">
      <c r="A24" t="s">
        <v>150</v>
      </c>
      <c r="B24" s="121">
        <f>B21+$A$21*B22</f>
        <v>12.793333333333335</v>
      </c>
      <c r="C24" s="121">
        <f t="shared" ref="C24:M24" si="2">C21+$A$21*C22</f>
        <v>11.126666666666667</v>
      </c>
      <c r="D24" s="121">
        <f t="shared" si="2"/>
        <v>9.8533333333333335</v>
      </c>
      <c r="E24" s="121">
        <f t="shared" si="2"/>
        <v>9.1533333333333324</v>
      </c>
      <c r="F24" s="121">
        <f t="shared" si="2"/>
        <v>9.4533333333333331</v>
      </c>
      <c r="G24" s="121">
        <f t="shared" si="2"/>
        <v>10.626666666666667</v>
      </c>
      <c r="H24" s="121">
        <f t="shared" si="2"/>
        <v>11.9</v>
      </c>
      <c r="I24" s="121">
        <f t="shared" si="2"/>
        <v>13.373333333333333</v>
      </c>
      <c r="J24" s="121">
        <f t="shared" si="2"/>
        <v>14.546666666666667</v>
      </c>
      <c r="K24" s="121">
        <f t="shared" si="2"/>
        <v>15.146666666666667</v>
      </c>
      <c r="L24" s="121">
        <f t="shared" si="2"/>
        <v>14.846666666666668</v>
      </c>
      <c r="M24" s="121">
        <f t="shared" si="2"/>
        <v>13.846666666666668</v>
      </c>
    </row>
    <row r="25" spans="1:13">
      <c r="B25" s="122"/>
      <c r="C25" s="122"/>
      <c r="D25" s="122"/>
      <c r="E25" s="122"/>
    </row>
    <row r="26" spans="1:13">
      <c r="B26" s="122"/>
      <c r="C26" s="121"/>
      <c r="D26" s="121"/>
      <c r="E26" s="121"/>
    </row>
    <row r="27" spans="1:13">
      <c r="B27" s="122"/>
      <c r="C27" s="121"/>
      <c r="D27" s="121"/>
      <c r="E27" s="121"/>
    </row>
    <row r="28" spans="1:13">
      <c r="B28" s="122"/>
      <c r="C28" s="121"/>
      <c r="D28" s="121"/>
      <c r="E28" s="121"/>
    </row>
    <row r="29" spans="1:13">
      <c r="B29" s="122"/>
      <c r="C29" s="121"/>
      <c r="D29" s="121"/>
      <c r="E29" s="121"/>
    </row>
    <row r="30" spans="1:13">
      <c r="B30" s="122"/>
      <c r="C30" s="121"/>
      <c r="D30" s="121"/>
      <c r="E30" s="121"/>
    </row>
    <row r="31" spans="1:13">
      <c r="B31" s="122"/>
      <c r="C31" s="121"/>
      <c r="D31" s="121"/>
      <c r="E31" s="121"/>
    </row>
    <row r="32" spans="1:13">
      <c r="B32" s="122"/>
      <c r="C32" s="121"/>
      <c r="D32" s="121"/>
      <c r="E32" s="121"/>
    </row>
    <row r="33" spans="2:5">
      <c r="B33" s="122"/>
      <c r="C33" s="121"/>
      <c r="D33" s="121"/>
      <c r="E33" s="121"/>
    </row>
    <row r="34" spans="2:5">
      <c r="B34" s="122"/>
      <c r="C34" s="121"/>
      <c r="D34" s="121"/>
      <c r="E34" s="121"/>
    </row>
  </sheetData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Climograma</vt:lpstr>
      <vt:lpstr>ficha hídrica</vt:lpstr>
      <vt:lpstr>Cálculo</vt:lpstr>
      <vt:lpstr>Datos La Almunia</vt:lpstr>
      <vt:lpstr>Hoja1</vt:lpstr>
      <vt:lpstr>Datos Zaragoza</vt:lpstr>
      <vt:lpstr>horas sol</vt:lpstr>
      <vt:lpstr>a</vt:lpstr>
      <vt:lpstr>ETP</vt:lpstr>
      <vt:lpstr>ETR</vt:lpstr>
      <vt:lpstr>I</vt:lpstr>
      <vt:lpstr>P</vt:lpstr>
      <vt:lpstr>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Francisco Alda</cp:lastModifiedBy>
  <cp:lastPrinted>2006-11-08T06:18:25Z</cp:lastPrinted>
  <dcterms:created xsi:type="dcterms:W3CDTF">2003-05-01T15:33:32Z</dcterms:created>
  <dcterms:modified xsi:type="dcterms:W3CDTF">2014-06-18T05:53:59Z</dcterms:modified>
</cp:coreProperties>
</file>